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95" windowWidth="18810" windowHeight="8160" tabRatio="842" activeTab="1"/>
  </bookViews>
  <sheets>
    <sheet name="Data Entry" sheetId="2" r:id="rId1"/>
    <sheet name="Summary" sheetId="1" r:id="rId2"/>
    <sheet name="Cruise" sheetId="5" r:id="rId3"/>
    <sheet name="Cruise Ships" sheetId="3" r:id="rId4"/>
    <sheet name="Passenger Movement" sheetId="6" r:id="rId5"/>
    <sheet name="Vessel Movement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2">Cruise!$A$2:$K$50</definedName>
    <definedName name="_xlnm.Print_Area" localSheetId="1">Summary!$A$51:$P$89</definedName>
    <definedName name="_xlnm.Print_Area">Summary!$B$51:$K$56</definedName>
    <definedName name="PRINT_AREA_MI">Summary!$B$51:$K$56</definedName>
  </definedNames>
  <calcPr calcId="145621"/>
</workbook>
</file>

<file path=xl/calcChain.xml><?xml version="1.0" encoding="utf-8"?>
<calcChain xmlns="http://schemas.openxmlformats.org/spreadsheetml/2006/main">
  <c r="AB89" i="1" l="1"/>
  <c r="H21" i="2"/>
  <c r="G51" i="2"/>
  <c r="G52" i="2"/>
  <c r="G36" i="2"/>
  <c r="G37" i="2"/>
  <c r="I22" i="2"/>
  <c r="H22" i="2"/>
  <c r="G21" i="2"/>
  <c r="I7" i="2"/>
  <c r="H7" i="2"/>
  <c r="H6" i="2"/>
  <c r="G6" i="2"/>
  <c r="B52" i="2" l="1"/>
  <c r="B37" i="2"/>
  <c r="D79" i="7"/>
  <c r="C79" i="7"/>
  <c r="J79" i="7"/>
  <c r="J52" i="7"/>
  <c r="I79" i="7"/>
  <c r="H79" i="7"/>
  <c r="D52" i="2"/>
  <c r="D37" i="2"/>
  <c r="B53" i="2"/>
  <c r="B38" i="2"/>
  <c r="E91" i="7"/>
  <c r="E92" i="7"/>
  <c r="E93" i="7"/>
  <c r="E94" i="7"/>
  <c r="E66" i="7"/>
  <c r="E65" i="7"/>
  <c r="E64" i="7"/>
  <c r="I106" i="7"/>
  <c r="H106" i="7"/>
  <c r="D106" i="7"/>
  <c r="C106" i="7"/>
  <c r="J103" i="7"/>
  <c r="E103" i="7"/>
  <c r="J102" i="7"/>
  <c r="E102" i="7"/>
  <c r="J101" i="7"/>
  <c r="E101" i="7"/>
  <c r="J100" i="7"/>
  <c r="E100" i="7"/>
  <c r="J99" i="7"/>
  <c r="E99" i="7"/>
  <c r="J98" i="7"/>
  <c r="E98" i="7"/>
  <c r="J97" i="7"/>
  <c r="E97" i="7"/>
  <c r="J94" i="7"/>
  <c r="J93" i="7"/>
  <c r="J92" i="7"/>
  <c r="J91" i="7"/>
  <c r="J90" i="7"/>
  <c r="E90" i="7"/>
  <c r="J89" i="7"/>
  <c r="E89" i="7"/>
  <c r="J88" i="7"/>
  <c r="J106" i="7"/>
  <c r="E88" i="7"/>
  <c r="J87" i="7"/>
  <c r="E87" i="7"/>
  <c r="J76" i="7"/>
  <c r="E76" i="7"/>
  <c r="J75" i="7"/>
  <c r="E75" i="7"/>
  <c r="J74" i="7"/>
  <c r="E74" i="7"/>
  <c r="J73" i="7"/>
  <c r="E73" i="7"/>
  <c r="J72" i="7"/>
  <c r="E72" i="7"/>
  <c r="J71" i="7"/>
  <c r="E71" i="7"/>
  <c r="J70" i="7"/>
  <c r="E70" i="7"/>
  <c r="J67" i="7"/>
  <c r="E67" i="7"/>
  <c r="J66" i="7"/>
  <c r="J65" i="7"/>
  <c r="J64" i="7"/>
  <c r="J63" i="7"/>
  <c r="E63" i="7"/>
  <c r="J62" i="7"/>
  <c r="E62" i="7"/>
  <c r="J61" i="7"/>
  <c r="E61" i="7"/>
  <c r="J60" i="7"/>
  <c r="E60" i="7"/>
  <c r="D53" i="2"/>
  <c r="D38" i="2"/>
  <c r="E106" i="7"/>
  <c r="E10" i="7"/>
  <c r="I25" i="7"/>
  <c r="H25" i="7"/>
  <c r="D25" i="7"/>
  <c r="C25" i="7"/>
  <c r="J22" i="7"/>
  <c r="E22" i="7"/>
  <c r="J21" i="7"/>
  <c r="E21" i="7"/>
  <c r="J20" i="7"/>
  <c r="E20" i="7"/>
  <c r="J19" i="7"/>
  <c r="E19" i="7"/>
  <c r="J18" i="7"/>
  <c r="E18" i="7"/>
  <c r="J17" i="7"/>
  <c r="E17" i="7"/>
  <c r="J16" i="7"/>
  <c r="E16" i="7"/>
  <c r="J13" i="7"/>
  <c r="E13" i="7"/>
  <c r="J12" i="7"/>
  <c r="J11" i="7"/>
  <c r="J10" i="7"/>
  <c r="J9" i="7"/>
  <c r="E9" i="7"/>
  <c r="J8" i="7"/>
  <c r="E8" i="7"/>
  <c r="J7" i="7"/>
  <c r="E7" i="7"/>
  <c r="J6" i="7"/>
  <c r="E6" i="7"/>
  <c r="E33" i="7"/>
  <c r="E34" i="7"/>
  <c r="E35" i="7"/>
  <c r="E36" i="7"/>
  <c r="E40" i="7"/>
  <c r="E43" i="7"/>
  <c r="E44" i="7"/>
  <c r="E45" i="7"/>
  <c r="E46" i="7"/>
  <c r="E47" i="7"/>
  <c r="E48" i="7"/>
  <c r="E49" i="7"/>
  <c r="D52" i="7"/>
  <c r="J43" i="7"/>
  <c r="J36" i="7"/>
  <c r="J34" i="7"/>
  <c r="H52" i="7"/>
  <c r="C52" i="7"/>
  <c r="J44" i="7"/>
  <c r="J45" i="7"/>
  <c r="J46" i="7"/>
  <c r="J47" i="7"/>
  <c r="J48" i="7"/>
  <c r="J49" i="7"/>
  <c r="J35" i="7"/>
  <c r="J37" i="7"/>
  <c r="J38" i="7"/>
  <c r="J39" i="7"/>
  <c r="J40" i="7"/>
  <c r="J33" i="7"/>
  <c r="E52" i="7"/>
  <c r="E63" i="3"/>
  <c r="E62" i="3"/>
  <c r="E61" i="3"/>
  <c r="E37" i="2"/>
  <c r="B51" i="2"/>
  <c r="B36" i="2"/>
  <c r="D51" i="2"/>
  <c r="D36" i="2"/>
  <c r="E36" i="2"/>
  <c r="E19" i="2"/>
  <c r="E65" i="2"/>
  <c r="E35" i="2"/>
  <c r="D62" i="3"/>
  <c r="D61" i="3"/>
  <c r="D63" i="3"/>
  <c r="C62" i="3"/>
  <c r="C61" i="3"/>
  <c r="I8" i="6"/>
  <c r="J8" i="6"/>
  <c r="I9" i="6"/>
  <c r="J9" i="6"/>
  <c r="I10" i="6"/>
  <c r="J10" i="6"/>
  <c r="I11" i="6"/>
  <c r="J11" i="6"/>
  <c r="I12" i="6"/>
  <c r="J12" i="6"/>
  <c r="I13" i="6"/>
  <c r="J13" i="6"/>
  <c r="I14" i="6"/>
  <c r="J14" i="6"/>
  <c r="I15" i="6"/>
  <c r="J15" i="6"/>
  <c r="I16" i="6"/>
  <c r="J16" i="6"/>
  <c r="I17" i="6"/>
  <c r="J17" i="6"/>
  <c r="I18" i="6"/>
  <c r="J18" i="6"/>
  <c r="J7" i="6"/>
  <c r="I7" i="6"/>
  <c r="B50" i="2"/>
  <c r="B35" i="2"/>
  <c r="D50" i="2"/>
  <c r="D35" i="2"/>
  <c r="C35" i="2"/>
  <c r="O60" i="3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3" i="1"/>
  <c r="AA34" i="1"/>
  <c r="AC34" i="1" s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3" i="1"/>
  <c r="AC53" i="1" s="1"/>
  <c r="AA54" i="1"/>
  <c r="AC54" i="1" s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3" i="1"/>
  <c r="AC73" i="1" s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C153" i="1"/>
  <c r="D153" i="1"/>
  <c r="D273" i="1" s="1"/>
  <c r="E153" i="1"/>
  <c r="E273" i="1" s="1"/>
  <c r="F153" i="1"/>
  <c r="G153" i="1"/>
  <c r="H153" i="1"/>
  <c r="H273" i="1" s="1"/>
  <c r="I153" i="1"/>
  <c r="I273" i="1" s="1"/>
  <c r="J153" i="1"/>
  <c r="K153" i="1"/>
  <c r="L153" i="1"/>
  <c r="L273" i="1" s="1"/>
  <c r="M153" i="1"/>
  <c r="M273" i="1" s="1"/>
  <c r="C154" i="1"/>
  <c r="D154" i="1"/>
  <c r="E154" i="1"/>
  <c r="E274" i="1" s="1"/>
  <c r="F154" i="1"/>
  <c r="F274" i="1" s="1"/>
  <c r="G154" i="1"/>
  <c r="H154" i="1"/>
  <c r="I154" i="1"/>
  <c r="I274" i="1" s="1"/>
  <c r="J154" i="1"/>
  <c r="J274" i="1" s="1"/>
  <c r="K154" i="1"/>
  <c r="L154" i="1"/>
  <c r="M154" i="1"/>
  <c r="M274" i="1" s="1"/>
  <c r="C155" i="1"/>
  <c r="D155" i="1"/>
  <c r="E155" i="1"/>
  <c r="F155" i="1"/>
  <c r="G155" i="1"/>
  <c r="H155" i="1"/>
  <c r="I155" i="1"/>
  <c r="J155" i="1"/>
  <c r="K155" i="1"/>
  <c r="L155" i="1"/>
  <c r="M155" i="1"/>
  <c r="C156" i="1"/>
  <c r="D156" i="1"/>
  <c r="E156" i="1"/>
  <c r="F156" i="1"/>
  <c r="G156" i="1"/>
  <c r="H156" i="1"/>
  <c r="I156" i="1"/>
  <c r="J156" i="1"/>
  <c r="K156" i="1"/>
  <c r="L156" i="1"/>
  <c r="M156" i="1"/>
  <c r="C157" i="1"/>
  <c r="D157" i="1"/>
  <c r="E157" i="1"/>
  <c r="F157" i="1"/>
  <c r="G157" i="1"/>
  <c r="H157" i="1"/>
  <c r="I157" i="1"/>
  <c r="J157" i="1"/>
  <c r="K157" i="1"/>
  <c r="L157" i="1"/>
  <c r="M157" i="1"/>
  <c r="C158" i="1"/>
  <c r="D158" i="1"/>
  <c r="E158" i="1"/>
  <c r="F158" i="1"/>
  <c r="G158" i="1"/>
  <c r="H158" i="1"/>
  <c r="I158" i="1"/>
  <c r="J158" i="1"/>
  <c r="K158" i="1"/>
  <c r="L158" i="1"/>
  <c r="M158" i="1"/>
  <c r="C159" i="1"/>
  <c r="D159" i="1"/>
  <c r="E159" i="1"/>
  <c r="F159" i="1"/>
  <c r="G159" i="1"/>
  <c r="H159" i="1"/>
  <c r="I159" i="1"/>
  <c r="J159" i="1"/>
  <c r="K159" i="1"/>
  <c r="L159" i="1"/>
  <c r="M159" i="1"/>
  <c r="C160" i="1"/>
  <c r="D160" i="1"/>
  <c r="E160" i="1"/>
  <c r="F160" i="1"/>
  <c r="G160" i="1"/>
  <c r="H160" i="1"/>
  <c r="I160" i="1"/>
  <c r="J160" i="1"/>
  <c r="K160" i="1"/>
  <c r="L160" i="1"/>
  <c r="M160" i="1"/>
  <c r="C161" i="1"/>
  <c r="D161" i="1"/>
  <c r="E161" i="1"/>
  <c r="F161" i="1"/>
  <c r="G161" i="1"/>
  <c r="H161" i="1"/>
  <c r="I161" i="1"/>
  <c r="J161" i="1"/>
  <c r="K161" i="1"/>
  <c r="L161" i="1"/>
  <c r="M161" i="1"/>
  <c r="C162" i="1"/>
  <c r="D162" i="1"/>
  <c r="E162" i="1"/>
  <c r="F162" i="1"/>
  <c r="G162" i="1"/>
  <c r="H162" i="1"/>
  <c r="I162" i="1"/>
  <c r="J162" i="1"/>
  <c r="K162" i="1"/>
  <c r="L162" i="1"/>
  <c r="M162" i="1"/>
  <c r="C163" i="1"/>
  <c r="D163" i="1"/>
  <c r="E163" i="1"/>
  <c r="F163" i="1"/>
  <c r="G163" i="1"/>
  <c r="H163" i="1"/>
  <c r="I163" i="1"/>
  <c r="J163" i="1"/>
  <c r="K163" i="1"/>
  <c r="L163" i="1"/>
  <c r="M163" i="1"/>
  <c r="C164" i="1"/>
  <c r="D164" i="1"/>
  <c r="E164" i="1"/>
  <c r="F164" i="1"/>
  <c r="G164" i="1"/>
  <c r="H164" i="1"/>
  <c r="I164" i="1"/>
  <c r="J164" i="1"/>
  <c r="K164" i="1"/>
  <c r="L164" i="1"/>
  <c r="M164" i="1"/>
  <c r="C165" i="1"/>
  <c r="D165" i="1"/>
  <c r="E165" i="1"/>
  <c r="F165" i="1"/>
  <c r="G165" i="1"/>
  <c r="H165" i="1"/>
  <c r="I165" i="1"/>
  <c r="J165" i="1"/>
  <c r="K165" i="1"/>
  <c r="L165" i="1"/>
  <c r="M165" i="1"/>
  <c r="C166" i="1"/>
  <c r="D166" i="1"/>
  <c r="E166" i="1"/>
  <c r="F166" i="1"/>
  <c r="G166" i="1"/>
  <c r="H166" i="1"/>
  <c r="I166" i="1"/>
  <c r="J166" i="1"/>
  <c r="K166" i="1"/>
  <c r="L166" i="1"/>
  <c r="M166" i="1"/>
  <c r="C167" i="1"/>
  <c r="D167" i="1"/>
  <c r="E167" i="1"/>
  <c r="F167" i="1"/>
  <c r="G167" i="1"/>
  <c r="H167" i="1"/>
  <c r="I167" i="1"/>
  <c r="J167" i="1"/>
  <c r="K167" i="1"/>
  <c r="L167" i="1"/>
  <c r="M167" i="1"/>
  <c r="C168" i="1"/>
  <c r="D168" i="1"/>
  <c r="E168" i="1"/>
  <c r="F168" i="1"/>
  <c r="G168" i="1"/>
  <c r="H168" i="1"/>
  <c r="I168" i="1"/>
  <c r="J168" i="1"/>
  <c r="K168" i="1"/>
  <c r="L168" i="1"/>
  <c r="M168" i="1"/>
  <c r="C169" i="1"/>
  <c r="D169" i="1"/>
  <c r="E169" i="1"/>
  <c r="F169" i="1"/>
  <c r="G169" i="1"/>
  <c r="H169" i="1"/>
  <c r="I169" i="1"/>
  <c r="J169" i="1"/>
  <c r="K169" i="1"/>
  <c r="L169" i="1"/>
  <c r="M169" i="1"/>
  <c r="C133" i="1"/>
  <c r="D133" i="1"/>
  <c r="E133" i="1"/>
  <c r="E253" i="1" s="1"/>
  <c r="F133" i="1"/>
  <c r="G133" i="1"/>
  <c r="H133" i="1"/>
  <c r="I133" i="1"/>
  <c r="I253" i="1" s="1"/>
  <c r="J133" i="1"/>
  <c r="J253" i="1" s="1"/>
  <c r="K133" i="1"/>
  <c r="L133" i="1"/>
  <c r="M133" i="1"/>
  <c r="M253" i="1" s="1"/>
  <c r="C134" i="1"/>
  <c r="C254" i="1" s="1"/>
  <c r="D134" i="1"/>
  <c r="E134" i="1"/>
  <c r="F134" i="1"/>
  <c r="F254" i="1" s="1"/>
  <c r="G134" i="1"/>
  <c r="G254" i="1" s="1"/>
  <c r="H134" i="1"/>
  <c r="I134" i="1"/>
  <c r="J134" i="1"/>
  <c r="J254" i="1" s="1"/>
  <c r="K134" i="1"/>
  <c r="K254" i="1" s="1"/>
  <c r="L134" i="1"/>
  <c r="M134" i="1"/>
  <c r="C135" i="1"/>
  <c r="D135" i="1"/>
  <c r="E135" i="1"/>
  <c r="F135" i="1"/>
  <c r="G135" i="1"/>
  <c r="H135" i="1"/>
  <c r="I135" i="1"/>
  <c r="J135" i="1"/>
  <c r="K135" i="1"/>
  <c r="L135" i="1"/>
  <c r="M135" i="1"/>
  <c r="C136" i="1"/>
  <c r="D136" i="1"/>
  <c r="E136" i="1"/>
  <c r="F136" i="1"/>
  <c r="G136" i="1"/>
  <c r="H136" i="1"/>
  <c r="I136" i="1"/>
  <c r="J136" i="1"/>
  <c r="K136" i="1"/>
  <c r="L136" i="1"/>
  <c r="M136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C141" i="1"/>
  <c r="D141" i="1"/>
  <c r="E141" i="1"/>
  <c r="F141" i="1"/>
  <c r="G141" i="1"/>
  <c r="H141" i="1"/>
  <c r="I141" i="1"/>
  <c r="J141" i="1"/>
  <c r="K141" i="1"/>
  <c r="L141" i="1"/>
  <c r="M141" i="1"/>
  <c r="C142" i="1"/>
  <c r="D142" i="1"/>
  <c r="E142" i="1"/>
  <c r="F142" i="1"/>
  <c r="G142" i="1"/>
  <c r="H142" i="1"/>
  <c r="I142" i="1"/>
  <c r="J142" i="1"/>
  <c r="K142" i="1"/>
  <c r="L142" i="1"/>
  <c r="M142" i="1"/>
  <c r="C143" i="1"/>
  <c r="D143" i="1"/>
  <c r="E143" i="1"/>
  <c r="F143" i="1"/>
  <c r="G143" i="1"/>
  <c r="H143" i="1"/>
  <c r="I143" i="1"/>
  <c r="J143" i="1"/>
  <c r="K143" i="1"/>
  <c r="L143" i="1"/>
  <c r="M143" i="1"/>
  <c r="C144" i="1"/>
  <c r="D144" i="1"/>
  <c r="E144" i="1"/>
  <c r="F144" i="1"/>
  <c r="G144" i="1"/>
  <c r="H144" i="1"/>
  <c r="I144" i="1"/>
  <c r="J144" i="1"/>
  <c r="K144" i="1"/>
  <c r="L144" i="1"/>
  <c r="M144" i="1"/>
  <c r="C145" i="1"/>
  <c r="D145" i="1"/>
  <c r="E145" i="1"/>
  <c r="F145" i="1"/>
  <c r="G145" i="1"/>
  <c r="H145" i="1"/>
  <c r="I145" i="1"/>
  <c r="J145" i="1"/>
  <c r="K145" i="1"/>
  <c r="L145" i="1"/>
  <c r="M145" i="1"/>
  <c r="C146" i="1"/>
  <c r="D146" i="1"/>
  <c r="E146" i="1"/>
  <c r="F146" i="1"/>
  <c r="G146" i="1"/>
  <c r="H146" i="1"/>
  <c r="I146" i="1"/>
  <c r="J146" i="1"/>
  <c r="K146" i="1"/>
  <c r="L146" i="1"/>
  <c r="M146" i="1"/>
  <c r="C147" i="1"/>
  <c r="D147" i="1"/>
  <c r="E147" i="1"/>
  <c r="F147" i="1"/>
  <c r="G147" i="1"/>
  <c r="H147" i="1"/>
  <c r="I147" i="1"/>
  <c r="J147" i="1"/>
  <c r="K147" i="1"/>
  <c r="L147" i="1"/>
  <c r="M147" i="1"/>
  <c r="C148" i="1"/>
  <c r="D148" i="1"/>
  <c r="E148" i="1"/>
  <c r="F148" i="1"/>
  <c r="G148" i="1"/>
  <c r="H148" i="1"/>
  <c r="I148" i="1"/>
  <c r="J148" i="1"/>
  <c r="K148" i="1"/>
  <c r="L148" i="1"/>
  <c r="M148" i="1"/>
  <c r="C149" i="1"/>
  <c r="D149" i="1"/>
  <c r="E149" i="1"/>
  <c r="F149" i="1"/>
  <c r="G149" i="1"/>
  <c r="H149" i="1"/>
  <c r="I149" i="1"/>
  <c r="J149" i="1"/>
  <c r="K149" i="1"/>
  <c r="L149" i="1"/>
  <c r="M149" i="1"/>
  <c r="C113" i="1"/>
  <c r="D113" i="1"/>
  <c r="D233" i="1" s="1"/>
  <c r="E113" i="1"/>
  <c r="E233" i="1" s="1"/>
  <c r="F113" i="1"/>
  <c r="G113" i="1"/>
  <c r="H113" i="1"/>
  <c r="H233" i="1" s="1"/>
  <c r="I113" i="1"/>
  <c r="J113" i="1"/>
  <c r="K113" i="1"/>
  <c r="K233" i="1" s="1"/>
  <c r="L113" i="1"/>
  <c r="L233" i="1" s="1"/>
  <c r="M113" i="1"/>
  <c r="C114" i="1"/>
  <c r="D114" i="1"/>
  <c r="D234" i="1" s="1"/>
  <c r="E114" i="1"/>
  <c r="E234" i="1" s="1"/>
  <c r="F114" i="1"/>
  <c r="G114" i="1"/>
  <c r="H114" i="1"/>
  <c r="H234" i="1" s="1"/>
  <c r="I114" i="1"/>
  <c r="I234" i="1" s="1"/>
  <c r="J114" i="1"/>
  <c r="K114" i="1"/>
  <c r="L114" i="1"/>
  <c r="L234" i="1" s="1"/>
  <c r="M114" i="1"/>
  <c r="M234" i="1" s="1"/>
  <c r="C115" i="1"/>
  <c r="D115" i="1"/>
  <c r="E115" i="1"/>
  <c r="F115" i="1"/>
  <c r="G115" i="1"/>
  <c r="H115" i="1"/>
  <c r="I115" i="1"/>
  <c r="J115" i="1"/>
  <c r="K115" i="1"/>
  <c r="L115" i="1"/>
  <c r="M115" i="1"/>
  <c r="C116" i="1"/>
  <c r="D116" i="1"/>
  <c r="E116" i="1"/>
  <c r="F116" i="1"/>
  <c r="G116" i="1"/>
  <c r="H116" i="1"/>
  <c r="I116" i="1"/>
  <c r="J116" i="1"/>
  <c r="K116" i="1"/>
  <c r="L116" i="1"/>
  <c r="M116" i="1"/>
  <c r="C117" i="1"/>
  <c r="D117" i="1"/>
  <c r="E117" i="1"/>
  <c r="F117" i="1"/>
  <c r="G117" i="1"/>
  <c r="H117" i="1"/>
  <c r="I117" i="1"/>
  <c r="J117" i="1"/>
  <c r="K117" i="1"/>
  <c r="L117" i="1"/>
  <c r="M117" i="1"/>
  <c r="C118" i="1"/>
  <c r="D118" i="1"/>
  <c r="E118" i="1"/>
  <c r="F118" i="1"/>
  <c r="G118" i="1"/>
  <c r="H118" i="1"/>
  <c r="I118" i="1"/>
  <c r="J118" i="1"/>
  <c r="K118" i="1"/>
  <c r="L118" i="1"/>
  <c r="M118" i="1"/>
  <c r="C119" i="1"/>
  <c r="D119" i="1"/>
  <c r="E119" i="1"/>
  <c r="F119" i="1"/>
  <c r="G119" i="1"/>
  <c r="H119" i="1"/>
  <c r="I119" i="1"/>
  <c r="J119" i="1"/>
  <c r="K119" i="1"/>
  <c r="L119" i="1"/>
  <c r="M119" i="1"/>
  <c r="C120" i="1"/>
  <c r="D120" i="1"/>
  <c r="E120" i="1"/>
  <c r="F120" i="1"/>
  <c r="G120" i="1"/>
  <c r="H120" i="1"/>
  <c r="I120" i="1"/>
  <c r="J120" i="1"/>
  <c r="K120" i="1"/>
  <c r="L120" i="1"/>
  <c r="M120" i="1"/>
  <c r="C121" i="1"/>
  <c r="D121" i="1"/>
  <c r="E121" i="1"/>
  <c r="F121" i="1"/>
  <c r="G121" i="1"/>
  <c r="H121" i="1"/>
  <c r="I121" i="1"/>
  <c r="J121" i="1"/>
  <c r="K121" i="1"/>
  <c r="L121" i="1"/>
  <c r="M121" i="1"/>
  <c r="C122" i="1"/>
  <c r="D122" i="1"/>
  <c r="E122" i="1"/>
  <c r="F122" i="1"/>
  <c r="G122" i="1"/>
  <c r="H122" i="1"/>
  <c r="I122" i="1"/>
  <c r="J122" i="1"/>
  <c r="K122" i="1"/>
  <c r="L122" i="1"/>
  <c r="M122" i="1"/>
  <c r="C123" i="1"/>
  <c r="D123" i="1"/>
  <c r="E123" i="1"/>
  <c r="F123" i="1"/>
  <c r="G123" i="1"/>
  <c r="H123" i="1"/>
  <c r="I123" i="1"/>
  <c r="J123" i="1"/>
  <c r="K123" i="1"/>
  <c r="L123" i="1"/>
  <c r="M123" i="1"/>
  <c r="C124" i="1"/>
  <c r="D124" i="1"/>
  <c r="E124" i="1"/>
  <c r="F124" i="1"/>
  <c r="G124" i="1"/>
  <c r="H124" i="1"/>
  <c r="I124" i="1"/>
  <c r="J124" i="1"/>
  <c r="K124" i="1"/>
  <c r="L124" i="1"/>
  <c r="M124" i="1"/>
  <c r="C125" i="1"/>
  <c r="D125" i="1"/>
  <c r="E125" i="1"/>
  <c r="F125" i="1"/>
  <c r="G125" i="1"/>
  <c r="H125" i="1"/>
  <c r="I125" i="1"/>
  <c r="J125" i="1"/>
  <c r="K125" i="1"/>
  <c r="L125" i="1"/>
  <c r="M125" i="1"/>
  <c r="C126" i="1"/>
  <c r="D126" i="1"/>
  <c r="E126" i="1"/>
  <c r="F126" i="1"/>
  <c r="G126" i="1"/>
  <c r="H126" i="1"/>
  <c r="I126" i="1"/>
  <c r="J126" i="1"/>
  <c r="K126" i="1"/>
  <c r="L126" i="1"/>
  <c r="M126" i="1"/>
  <c r="C127" i="1"/>
  <c r="D127" i="1"/>
  <c r="E127" i="1"/>
  <c r="F127" i="1"/>
  <c r="G127" i="1"/>
  <c r="H127" i="1"/>
  <c r="I127" i="1"/>
  <c r="J127" i="1"/>
  <c r="K127" i="1"/>
  <c r="L127" i="1"/>
  <c r="M127" i="1"/>
  <c r="C128" i="1"/>
  <c r="D128" i="1"/>
  <c r="E128" i="1"/>
  <c r="F128" i="1"/>
  <c r="G128" i="1"/>
  <c r="H128" i="1"/>
  <c r="I128" i="1"/>
  <c r="J128" i="1"/>
  <c r="K128" i="1"/>
  <c r="L128" i="1"/>
  <c r="M128" i="1"/>
  <c r="C129" i="1"/>
  <c r="D129" i="1"/>
  <c r="E129" i="1"/>
  <c r="F129" i="1"/>
  <c r="G129" i="1"/>
  <c r="H129" i="1"/>
  <c r="I129" i="1"/>
  <c r="J129" i="1"/>
  <c r="K129" i="1"/>
  <c r="L129" i="1"/>
  <c r="M129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293" i="1"/>
  <c r="E96" i="2"/>
  <c r="E101" i="2"/>
  <c r="E102" i="2"/>
  <c r="C46" i="2"/>
  <c r="AK237" i="2"/>
  <c r="C19" i="6"/>
  <c r="E19" i="6"/>
  <c r="G19" i="6"/>
  <c r="O6" i="3"/>
  <c r="O7" i="3"/>
  <c r="O8" i="3"/>
  <c r="C8" i="3"/>
  <c r="D8" i="3"/>
  <c r="E8" i="3"/>
  <c r="F8" i="3"/>
  <c r="G8" i="3"/>
  <c r="H8" i="3"/>
  <c r="I8" i="3"/>
  <c r="J8" i="3"/>
  <c r="L8" i="3"/>
  <c r="M8" i="3"/>
  <c r="N8" i="3"/>
  <c r="O9" i="3"/>
  <c r="O11" i="3"/>
  <c r="O10" i="3"/>
  <c r="C11" i="3"/>
  <c r="D11" i="3"/>
  <c r="E11" i="3"/>
  <c r="F11" i="3"/>
  <c r="G11" i="3"/>
  <c r="H11" i="3"/>
  <c r="M11" i="3"/>
  <c r="N11" i="3"/>
  <c r="O12" i="3"/>
  <c r="O13" i="3"/>
  <c r="O14" i="3"/>
  <c r="C14" i="3"/>
  <c r="D14" i="3"/>
  <c r="E14" i="3"/>
  <c r="K14" i="3"/>
  <c r="N14" i="3"/>
  <c r="O15" i="3"/>
  <c r="M16" i="3"/>
  <c r="N16" i="3"/>
  <c r="C17" i="3"/>
  <c r="D17" i="3"/>
  <c r="E17" i="3"/>
  <c r="F17" i="3"/>
  <c r="G17" i="3"/>
  <c r="J17" i="3"/>
  <c r="M17" i="3"/>
  <c r="O18" i="3"/>
  <c r="F19" i="3"/>
  <c r="C20" i="3"/>
  <c r="D20" i="3"/>
  <c r="E20" i="3"/>
  <c r="O21" i="3"/>
  <c r="O22" i="3"/>
  <c r="O23" i="3"/>
  <c r="O24" i="3"/>
  <c r="C25" i="3"/>
  <c r="D25" i="3"/>
  <c r="D27" i="3"/>
  <c r="E25" i="3"/>
  <c r="E27" i="3"/>
  <c r="F25" i="3"/>
  <c r="F27" i="3"/>
  <c r="M25" i="3"/>
  <c r="M27" i="3"/>
  <c r="N25" i="3"/>
  <c r="N27" i="3"/>
  <c r="C26" i="3"/>
  <c r="O26" i="3"/>
  <c r="D26" i="3"/>
  <c r="E26" i="3"/>
  <c r="F26" i="3"/>
  <c r="N26" i="3"/>
  <c r="C27" i="3"/>
  <c r="G27" i="3"/>
  <c r="O28" i="3"/>
  <c r="C29" i="3"/>
  <c r="C31" i="3"/>
  <c r="D29" i="3"/>
  <c r="E29" i="3"/>
  <c r="E31" i="3"/>
  <c r="F29" i="3"/>
  <c r="F31" i="3"/>
  <c r="M29" i="3"/>
  <c r="M31" i="3"/>
  <c r="C30" i="3"/>
  <c r="D30" i="3"/>
  <c r="E30" i="3"/>
  <c r="F30" i="3"/>
  <c r="M30" i="3"/>
  <c r="D31" i="3"/>
  <c r="O32" i="3"/>
  <c r="C33" i="3"/>
  <c r="D33" i="3"/>
  <c r="E33" i="3"/>
  <c r="E35" i="3"/>
  <c r="N33" i="3"/>
  <c r="N35" i="3"/>
  <c r="C34" i="3"/>
  <c r="D34" i="3"/>
  <c r="E34" i="3"/>
  <c r="N34" i="3"/>
  <c r="O36" i="3"/>
  <c r="C37" i="3"/>
  <c r="D37" i="3"/>
  <c r="D39" i="3"/>
  <c r="E37" i="3"/>
  <c r="E39" i="3"/>
  <c r="F37" i="3"/>
  <c r="N37" i="3"/>
  <c r="N39" i="3"/>
  <c r="C38" i="3"/>
  <c r="D38" i="3"/>
  <c r="E38" i="3"/>
  <c r="F38" i="3"/>
  <c r="N38" i="3"/>
  <c r="C39" i="3"/>
  <c r="F39" i="3"/>
  <c r="M39" i="3"/>
  <c r="O40" i="3"/>
  <c r="C41" i="3"/>
  <c r="C43" i="3"/>
  <c r="D41" i="3"/>
  <c r="E41" i="3"/>
  <c r="E43" i="3"/>
  <c r="F41" i="3"/>
  <c r="C42" i="3"/>
  <c r="D42" i="3"/>
  <c r="E42" i="3"/>
  <c r="F42" i="3"/>
  <c r="F43" i="3"/>
  <c r="O44" i="3"/>
  <c r="C45" i="3"/>
  <c r="D45" i="3"/>
  <c r="E45" i="3"/>
  <c r="E47" i="3"/>
  <c r="F45" i="3"/>
  <c r="F47" i="3"/>
  <c r="M45" i="3"/>
  <c r="N45" i="3"/>
  <c r="N47" i="3"/>
  <c r="C46" i="3"/>
  <c r="D46" i="3"/>
  <c r="E46" i="3"/>
  <c r="F46" i="3"/>
  <c r="O46" i="3"/>
  <c r="M46" i="3"/>
  <c r="N46" i="3"/>
  <c r="C47" i="3"/>
  <c r="M47" i="3"/>
  <c r="O48" i="3"/>
  <c r="C49" i="3"/>
  <c r="D49" i="3"/>
  <c r="D51" i="3"/>
  <c r="E49" i="3"/>
  <c r="M49" i="3"/>
  <c r="N49" i="3"/>
  <c r="C50" i="3"/>
  <c r="D50" i="3"/>
  <c r="E50" i="3"/>
  <c r="M50" i="3"/>
  <c r="N50" i="3"/>
  <c r="F51" i="3"/>
  <c r="N51" i="3"/>
  <c r="O52" i="3"/>
  <c r="C53" i="3"/>
  <c r="D53" i="3"/>
  <c r="E53" i="3"/>
  <c r="N53" i="3"/>
  <c r="C54" i="3"/>
  <c r="D54" i="3"/>
  <c r="E54" i="3"/>
  <c r="N54" i="3"/>
  <c r="D55" i="3"/>
  <c r="F55" i="3"/>
  <c r="M55" i="3"/>
  <c r="O56" i="3"/>
  <c r="C57" i="3"/>
  <c r="C59" i="3"/>
  <c r="D57" i="3"/>
  <c r="D59" i="3"/>
  <c r="F57" i="3"/>
  <c r="D173" i="5"/>
  <c r="E173" i="5"/>
  <c r="C58" i="3"/>
  <c r="D58" i="3"/>
  <c r="F58" i="3"/>
  <c r="F59" i="3"/>
  <c r="E8" i="5"/>
  <c r="I8" i="5"/>
  <c r="E9" i="5"/>
  <c r="J9" i="5"/>
  <c r="E10" i="5"/>
  <c r="J10" i="5"/>
  <c r="C11" i="5"/>
  <c r="D11" i="5"/>
  <c r="E11" i="5"/>
  <c r="H11" i="5"/>
  <c r="E12" i="5"/>
  <c r="J12" i="5"/>
  <c r="E13" i="5"/>
  <c r="I13" i="5"/>
  <c r="E14" i="5"/>
  <c r="I14" i="5"/>
  <c r="J14" i="5"/>
  <c r="C15" i="5"/>
  <c r="D15" i="5"/>
  <c r="H15" i="5"/>
  <c r="E16" i="5"/>
  <c r="E17" i="5"/>
  <c r="C19" i="5"/>
  <c r="D19" i="5"/>
  <c r="H19" i="5"/>
  <c r="I19" i="5"/>
  <c r="E20" i="5"/>
  <c r="E21" i="5"/>
  <c r="I21" i="5"/>
  <c r="E22" i="5"/>
  <c r="J22" i="5"/>
  <c r="C23" i="5"/>
  <c r="D23" i="5"/>
  <c r="H23" i="5"/>
  <c r="D25" i="5"/>
  <c r="D31" i="5"/>
  <c r="I31" i="5"/>
  <c r="J31" i="5"/>
  <c r="D32" i="5"/>
  <c r="E32" i="5"/>
  <c r="I32" i="5"/>
  <c r="D33" i="5"/>
  <c r="E33" i="5"/>
  <c r="I33" i="5"/>
  <c r="J33" i="5"/>
  <c r="C34" i="5"/>
  <c r="H34" i="5"/>
  <c r="I35" i="5"/>
  <c r="J35" i="5"/>
  <c r="I36" i="5"/>
  <c r="J36" i="5"/>
  <c r="C38" i="5"/>
  <c r="C47" i="5"/>
  <c r="D38" i="5"/>
  <c r="H38" i="5"/>
  <c r="J40" i="5"/>
  <c r="J42" i="5"/>
  <c r="D41" i="5"/>
  <c r="D42" i="5"/>
  <c r="E42" i="5"/>
  <c r="C42" i="5"/>
  <c r="C48" i="5"/>
  <c r="H42" i="5"/>
  <c r="H47" i="5"/>
  <c r="H48" i="5"/>
  <c r="I42" i="5"/>
  <c r="D45" i="5"/>
  <c r="E45" i="5"/>
  <c r="E46" i="5"/>
  <c r="C46" i="5"/>
  <c r="H46" i="5"/>
  <c r="I46" i="5"/>
  <c r="J46" i="5"/>
  <c r="E54" i="5"/>
  <c r="J54" i="5"/>
  <c r="E55" i="5"/>
  <c r="J55" i="5"/>
  <c r="E56" i="5"/>
  <c r="J56" i="5"/>
  <c r="C57" i="5"/>
  <c r="D57" i="5"/>
  <c r="H57" i="5"/>
  <c r="I57" i="5"/>
  <c r="E58" i="5"/>
  <c r="J58" i="5"/>
  <c r="E59" i="5"/>
  <c r="J59" i="5"/>
  <c r="C61" i="5"/>
  <c r="D61" i="5"/>
  <c r="H61" i="5"/>
  <c r="I61" i="5"/>
  <c r="E63" i="5"/>
  <c r="J63" i="5"/>
  <c r="J65" i="5"/>
  <c r="C65" i="5"/>
  <c r="D65" i="5"/>
  <c r="E65" i="5"/>
  <c r="H65" i="5"/>
  <c r="I65" i="5"/>
  <c r="J67" i="5"/>
  <c r="J69" i="5"/>
  <c r="J68" i="5"/>
  <c r="C69" i="5"/>
  <c r="D69" i="5"/>
  <c r="E69" i="5"/>
  <c r="H69" i="5"/>
  <c r="I69" i="5"/>
  <c r="H70" i="5"/>
  <c r="H71" i="5"/>
  <c r="E77" i="5"/>
  <c r="J77" i="5"/>
  <c r="E78" i="5"/>
  <c r="J78" i="5"/>
  <c r="E79" i="5"/>
  <c r="J79" i="5"/>
  <c r="C80" i="5"/>
  <c r="D80" i="5"/>
  <c r="H80" i="5"/>
  <c r="I80" i="5"/>
  <c r="E81" i="5"/>
  <c r="J81" i="5"/>
  <c r="E82" i="5"/>
  <c r="J82" i="5"/>
  <c r="C84" i="5"/>
  <c r="D84" i="5"/>
  <c r="H84" i="5"/>
  <c r="I84" i="5"/>
  <c r="J84" i="5"/>
  <c r="J86" i="5"/>
  <c r="J88" i="5"/>
  <c r="C88" i="5"/>
  <c r="D88" i="5"/>
  <c r="E88" i="5"/>
  <c r="H88" i="5"/>
  <c r="I88" i="5"/>
  <c r="E90" i="5"/>
  <c r="E91" i="5"/>
  <c r="E92" i="5"/>
  <c r="C92" i="5"/>
  <c r="D92" i="5"/>
  <c r="H92" i="5"/>
  <c r="I92" i="5"/>
  <c r="J92" i="5"/>
  <c r="D100" i="5"/>
  <c r="E100" i="5"/>
  <c r="H100" i="5"/>
  <c r="I100" i="5"/>
  <c r="J100" i="5" s="1"/>
  <c r="C101" i="5"/>
  <c r="D101" i="5"/>
  <c r="E101" i="5" s="1"/>
  <c r="H101" i="5"/>
  <c r="I101" i="5"/>
  <c r="C102" i="5"/>
  <c r="D102" i="5"/>
  <c r="H102" i="5"/>
  <c r="I102" i="5"/>
  <c r="J102" i="5" s="1"/>
  <c r="E104" i="5"/>
  <c r="H104" i="5"/>
  <c r="H107" i="5"/>
  <c r="I104" i="5"/>
  <c r="I107" i="5" s="1"/>
  <c r="J107" i="5" s="1"/>
  <c r="E105" i="5"/>
  <c r="J105" i="5"/>
  <c r="C107" i="5"/>
  <c r="D107" i="5"/>
  <c r="E109" i="5"/>
  <c r="J109" i="5"/>
  <c r="J111" i="5"/>
  <c r="C111" i="5"/>
  <c r="D111" i="5"/>
  <c r="E111" i="5"/>
  <c r="H111" i="5"/>
  <c r="I111" i="5"/>
  <c r="H113" i="5"/>
  <c r="I113" i="5"/>
  <c r="J113" i="5"/>
  <c r="H114" i="5"/>
  <c r="I114" i="5"/>
  <c r="J114" i="5"/>
  <c r="C115" i="5"/>
  <c r="D115" i="5"/>
  <c r="E115" i="5"/>
  <c r="E123" i="5"/>
  <c r="J123" i="5"/>
  <c r="E124" i="5"/>
  <c r="J124" i="5"/>
  <c r="C125" i="5"/>
  <c r="C126" i="5"/>
  <c r="C139" i="5"/>
  <c r="C140" i="5" s="1"/>
  <c r="D125" i="5"/>
  <c r="E125" i="5" s="1"/>
  <c r="J125" i="5"/>
  <c r="H126" i="5"/>
  <c r="I126" i="5"/>
  <c r="E127" i="5"/>
  <c r="J127" i="5"/>
  <c r="E128" i="5"/>
  <c r="J128" i="5"/>
  <c r="C130" i="5"/>
  <c r="D130" i="5"/>
  <c r="H130" i="5"/>
  <c r="J130" i="5"/>
  <c r="I130" i="5"/>
  <c r="E132" i="5"/>
  <c r="J132" i="5"/>
  <c r="J134" i="5"/>
  <c r="C134" i="5"/>
  <c r="D134" i="5"/>
  <c r="E134" i="5"/>
  <c r="H134" i="5"/>
  <c r="I134" i="5"/>
  <c r="E136" i="5"/>
  <c r="E138" i="5"/>
  <c r="J136" i="5"/>
  <c r="J138" i="5" s="1"/>
  <c r="J139" i="5" s="1"/>
  <c r="E137" i="5"/>
  <c r="J137" i="5"/>
  <c r="C138" i="5"/>
  <c r="D138" i="5"/>
  <c r="H138" i="5"/>
  <c r="I138" i="5"/>
  <c r="C146" i="5"/>
  <c r="H146" i="5"/>
  <c r="C147" i="5"/>
  <c r="D147" i="5"/>
  <c r="H147" i="5"/>
  <c r="I147" i="5"/>
  <c r="J147" i="5"/>
  <c r="C148" i="5"/>
  <c r="C149" i="5"/>
  <c r="H148" i="5"/>
  <c r="H149" i="5"/>
  <c r="C150" i="5"/>
  <c r="D150" i="5"/>
  <c r="H150" i="5"/>
  <c r="I150" i="5"/>
  <c r="C151" i="5"/>
  <c r="D151" i="5"/>
  <c r="C152" i="5"/>
  <c r="D152" i="5"/>
  <c r="C154" i="5"/>
  <c r="D154" i="5"/>
  <c r="D157" i="5"/>
  <c r="C155" i="5"/>
  <c r="D155" i="5"/>
  <c r="C156" i="5"/>
  <c r="D156" i="5"/>
  <c r="E157" i="5"/>
  <c r="H157" i="5"/>
  <c r="I157" i="5"/>
  <c r="J157" i="5"/>
  <c r="C158" i="5"/>
  <c r="C161" i="5"/>
  <c r="D158" i="5"/>
  <c r="C159" i="5"/>
  <c r="H159" i="5"/>
  <c r="H161" i="5"/>
  <c r="I159" i="5"/>
  <c r="C160" i="5"/>
  <c r="D160" i="5"/>
  <c r="H160" i="5"/>
  <c r="C169" i="5"/>
  <c r="D169" i="5"/>
  <c r="C170" i="5"/>
  <c r="C171" i="5"/>
  <c r="D171" i="5"/>
  <c r="E171" i="5"/>
  <c r="C173" i="5"/>
  <c r="C174" i="5"/>
  <c r="C176" i="5"/>
  <c r="D174" i="5"/>
  <c r="C175" i="5"/>
  <c r="D175" i="5"/>
  <c r="C177" i="5"/>
  <c r="D177" i="5"/>
  <c r="C178" i="5"/>
  <c r="D178" i="5"/>
  <c r="C179" i="5"/>
  <c r="D179" i="5"/>
  <c r="E180" i="5"/>
  <c r="C181" i="5"/>
  <c r="D181" i="5"/>
  <c r="C182" i="5"/>
  <c r="D182" i="5"/>
  <c r="E182" i="5"/>
  <c r="E184" i="5"/>
  <c r="C183" i="5"/>
  <c r="D183" i="5"/>
  <c r="Q13" i="1"/>
  <c r="R13" i="1"/>
  <c r="R16" i="1" s="1"/>
  <c r="S13" i="1"/>
  <c r="T13" i="1"/>
  <c r="U13" i="1"/>
  <c r="U16" i="1" s="1"/>
  <c r="V13" i="1"/>
  <c r="V16" i="1" s="1"/>
  <c r="W13" i="1"/>
  <c r="W16" i="1" s="1"/>
  <c r="X13" i="1"/>
  <c r="Q14" i="1"/>
  <c r="Q16" i="1"/>
  <c r="R14" i="1"/>
  <c r="S14" i="1"/>
  <c r="T14" i="1"/>
  <c r="T16" i="1" s="1"/>
  <c r="U14" i="1"/>
  <c r="V14" i="1"/>
  <c r="W14" i="1"/>
  <c r="X14" i="1"/>
  <c r="Q15" i="1"/>
  <c r="R15" i="1"/>
  <c r="S15" i="1"/>
  <c r="T15" i="1"/>
  <c r="U15" i="1"/>
  <c r="V15" i="1"/>
  <c r="W15" i="1"/>
  <c r="X15" i="1"/>
  <c r="X16" i="1"/>
  <c r="Q17" i="1"/>
  <c r="Q20" i="1" s="1"/>
  <c r="R17" i="1"/>
  <c r="S17" i="1"/>
  <c r="T17" i="1"/>
  <c r="U17" i="1"/>
  <c r="V17" i="1"/>
  <c r="W17" i="1"/>
  <c r="X17" i="1"/>
  <c r="Q18" i="1"/>
  <c r="R18" i="1"/>
  <c r="S18" i="1"/>
  <c r="T18" i="1"/>
  <c r="U18" i="1"/>
  <c r="U20" i="1" s="1"/>
  <c r="V18" i="1"/>
  <c r="W18" i="1"/>
  <c r="X18" i="1"/>
  <c r="Q19" i="1"/>
  <c r="R19" i="1"/>
  <c r="S19" i="1"/>
  <c r="T19" i="1"/>
  <c r="U19" i="1"/>
  <c r="V19" i="1"/>
  <c r="W19" i="1"/>
  <c r="X19" i="1"/>
  <c r="X20" i="1"/>
  <c r="Q21" i="1"/>
  <c r="R21" i="1"/>
  <c r="S21" i="1"/>
  <c r="S24" i="1"/>
  <c r="T21" i="1"/>
  <c r="T24" i="1" s="1"/>
  <c r="U21" i="1"/>
  <c r="V21" i="1"/>
  <c r="V24" i="1" s="1"/>
  <c r="W21" i="1"/>
  <c r="X21" i="1"/>
  <c r="Q22" i="1"/>
  <c r="R22" i="1"/>
  <c r="S22" i="1"/>
  <c r="T22" i="1"/>
  <c r="U22" i="1"/>
  <c r="V22" i="1"/>
  <c r="W22" i="1"/>
  <c r="X22" i="1"/>
  <c r="Q23" i="1"/>
  <c r="R23" i="1"/>
  <c r="S23" i="1"/>
  <c r="T23" i="1"/>
  <c r="U23" i="1"/>
  <c r="V23" i="1"/>
  <c r="W23" i="1"/>
  <c r="X23" i="1"/>
  <c r="X24" i="1"/>
  <c r="Q25" i="1"/>
  <c r="Q28" i="1" s="1"/>
  <c r="R25" i="1"/>
  <c r="R28" i="1" s="1"/>
  <c r="S25" i="1"/>
  <c r="T25" i="1"/>
  <c r="U25" i="1"/>
  <c r="U28" i="1" s="1"/>
  <c r="U29" i="1" s="1"/>
  <c r="V25" i="1"/>
  <c r="W25" i="1"/>
  <c r="W28" i="1" s="1"/>
  <c r="X25" i="1"/>
  <c r="P26" i="1"/>
  <c r="Q26" i="1"/>
  <c r="R26" i="1"/>
  <c r="S26" i="1"/>
  <c r="T26" i="1"/>
  <c r="T28" i="1" s="1"/>
  <c r="T29" i="1" s="1"/>
  <c r="U26" i="1"/>
  <c r="V26" i="1"/>
  <c r="V28" i="1" s="1"/>
  <c r="W26" i="1"/>
  <c r="X26" i="1"/>
  <c r="P27" i="1"/>
  <c r="Q27" i="1"/>
  <c r="R27" i="1"/>
  <c r="S27" i="1"/>
  <c r="S28" i="1" s="1"/>
  <c r="S29" i="1" s="1"/>
  <c r="T27" i="1"/>
  <c r="U27" i="1"/>
  <c r="V27" i="1"/>
  <c r="W27" i="1"/>
  <c r="X27" i="1"/>
  <c r="X28" i="1"/>
  <c r="X29" i="1"/>
  <c r="X33" i="1"/>
  <c r="Y33" i="1"/>
  <c r="X34" i="1"/>
  <c r="Y34" i="1"/>
  <c r="X35" i="1"/>
  <c r="Y35" i="1"/>
  <c r="X36" i="1"/>
  <c r="Y36" i="1"/>
  <c r="X37" i="1"/>
  <c r="Y37" i="1"/>
  <c r="X38" i="1"/>
  <c r="Y38" i="1"/>
  <c r="X39" i="1"/>
  <c r="Y39" i="1"/>
  <c r="X40" i="1"/>
  <c r="Y40" i="1"/>
  <c r="X41" i="1"/>
  <c r="Y41" i="1"/>
  <c r="X42" i="1"/>
  <c r="Y42" i="1"/>
  <c r="X43" i="1"/>
  <c r="Y43" i="1"/>
  <c r="X44" i="1"/>
  <c r="Y44" i="1"/>
  <c r="X45" i="1"/>
  <c r="Y45" i="1"/>
  <c r="X46" i="1"/>
  <c r="Y46" i="1"/>
  <c r="X47" i="1"/>
  <c r="Y47" i="1"/>
  <c r="X48" i="1"/>
  <c r="Y48" i="1"/>
  <c r="X49" i="1"/>
  <c r="Y49" i="1"/>
  <c r="X53" i="1"/>
  <c r="Y53" i="1"/>
  <c r="X54" i="1"/>
  <c r="Y54" i="1"/>
  <c r="X55" i="1"/>
  <c r="Y55" i="1"/>
  <c r="X56" i="1"/>
  <c r="Y56" i="1"/>
  <c r="X57" i="1"/>
  <c r="Y57" i="1"/>
  <c r="X58" i="1"/>
  <c r="Y58" i="1"/>
  <c r="X59" i="1"/>
  <c r="Y59" i="1"/>
  <c r="X60" i="1"/>
  <c r="Y60" i="1"/>
  <c r="X61" i="1"/>
  <c r="Y61" i="1"/>
  <c r="X62" i="1"/>
  <c r="Y62" i="1"/>
  <c r="X63" i="1"/>
  <c r="Y63" i="1"/>
  <c r="X64" i="1"/>
  <c r="Y64" i="1"/>
  <c r="X65" i="1"/>
  <c r="Y65" i="1"/>
  <c r="X66" i="1"/>
  <c r="Y66" i="1"/>
  <c r="X67" i="1"/>
  <c r="Y67" i="1"/>
  <c r="X68" i="1"/>
  <c r="Y68" i="1"/>
  <c r="X69" i="1"/>
  <c r="Y69" i="1"/>
  <c r="X73" i="1"/>
  <c r="Y73" i="1"/>
  <c r="X74" i="1"/>
  <c r="Y74" i="1"/>
  <c r="X75" i="1"/>
  <c r="Y75" i="1"/>
  <c r="X76" i="1"/>
  <c r="Y76" i="1"/>
  <c r="X77" i="1"/>
  <c r="Y77" i="1"/>
  <c r="X78" i="1"/>
  <c r="Y78" i="1"/>
  <c r="X79" i="1"/>
  <c r="Y79" i="1"/>
  <c r="X80" i="1"/>
  <c r="Y80" i="1"/>
  <c r="X81" i="1"/>
  <c r="Y81" i="1"/>
  <c r="X82" i="1"/>
  <c r="Y82" i="1"/>
  <c r="X83" i="1"/>
  <c r="Y83" i="1"/>
  <c r="X84" i="1"/>
  <c r="Y84" i="1"/>
  <c r="X85" i="1"/>
  <c r="Y85" i="1"/>
  <c r="X86" i="1"/>
  <c r="Y86" i="1"/>
  <c r="X87" i="1"/>
  <c r="Y87" i="1"/>
  <c r="X88" i="1"/>
  <c r="Y88" i="1"/>
  <c r="X89" i="1"/>
  <c r="Y89" i="1"/>
  <c r="X93" i="1"/>
  <c r="Y93" i="1"/>
  <c r="X94" i="1"/>
  <c r="Y94" i="1"/>
  <c r="X95" i="1"/>
  <c r="Y95" i="1"/>
  <c r="X96" i="1"/>
  <c r="Y96" i="1"/>
  <c r="X97" i="1"/>
  <c r="Y97" i="1"/>
  <c r="X98" i="1"/>
  <c r="Y98" i="1"/>
  <c r="X99" i="1"/>
  <c r="Y99" i="1"/>
  <c r="X100" i="1"/>
  <c r="Y100" i="1"/>
  <c r="X101" i="1"/>
  <c r="Y101" i="1"/>
  <c r="X102" i="1"/>
  <c r="Y102" i="1"/>
  <c r="X103" i="1"/>
  <c r="Y103" i="1"/>
  <c r="X104" i="1"/>
  <c r="Y104" i="1"/>
  <c r="X105" i="1"/>
  <c r="Y105" i="1"/>
  <c r="X106" i="1"/>
  <c r="Y106" i="1"/>
  <c r="X107" i="1"/>
  <c r="Y107" i="1"/>
  <c r="X108" i="1"/>
  <c r="Y108" i="1"/>
  <c r="X109" i="1"/>
  <c r="Y109" i="1"/>
  <c r="C313" i="1"/>
  <c r="E313" i="1"/>
  <c r="C314" i="1"/>
  <c r="E314" i="1"/>
  <c r="F314" i="1"/>
  <c r="C4" i="2"/>
  <c r="C5" i="2"/>
  <c r="C6" i="2"/>
  <c r="F6" i="2"/>
  <c r="C7" i="2"/>
  <c r="F7" i="2"/>
  <c r="C8" i="2"/>
  <c r="F8" i="2"/>
  <c r="C9" i="2"/>
  <c r="F9" i="2"/>
  <c r="C10" i="2"/>
  <c r="F10" i="2"/>
  <c r="C11" i="2"/>
  <c r="F11" i="2"/>
  <c r="C12" i="2"/>
  <c r="F12" i="2"/>
  <c r="C13" i="2"/>
  <c r="C14" i="2"/>
  <c r="F14" i="2"/>
  <c r="C15" i="2"/>
  <c r="F15" i="2"/>
  <c r="B16" i="2"/>
  <c r="D16" i="2"/>
  <c r="E16" i="2"/>
  <c r="C19" i="2"/>
  <c r="C20" i="2"/>
  <c r="F20" i="2"/>
  <c r="AB94" i="1"/>
  <c r="AC94" i="1"/>
  <c r="C21" i="2"/>
  <c r="F21" i="2"/>
  <c r="C22" i="2"/>
  <c r="F22" i="2"/>
  <c r="C23" i="2"/>
  <c r="F23" i="2"/>
  <c r="C24" i="2"/>
  <c r="F24" i="2"/>
  <c r="C25" i="2"/>
  <c r="F25" i="2"/>
  <c r="C26" i="2"/>
  <c r="F26" i="2"/>
  <c r="C27" i="2"/>
  <c r="F27" i="2"/>
  <c r="C28" i="2"/>
  <c r="F28" i="2"/>
  <c r="C29" i="2"/>
  <c r="F29" i="2"/>
  <c r="C30" i="2"/>
  <c r="F30" i="2"/>
  <c r="B31" i="2"/>
  <c r="D31" i="2"/>
  <c r="E31" i="2"/>
  <c r="C36" i="2"/>
  <c r="C37" i="2"/>
  <c r="F37" i="2"/>
  <c r="C38" i="2"/>
  <c r="F38" i="2"/>
  <c r="C39" i="2"/>
  <c r="C40" i="2"/>
  <c r="F40" i="2"/>
  <c r="C41" i="2"/>
  <c r="F41" i="2"/>
  <c r="C42" i="2"/>
  <c r="F42" i="2"/>
  <c r="C43" i="2"/>
  <c r="F43" i="2"/>
  <c r="C44" i="2"/>
  <c r="F44" i="2"/>
  <c r="C45" i="2"/>
  <c r="F45" i="2"/>
  <c r="C51" i="2"/>
  <c r="F51" i="2"/>
  <c r="C52" i="2"/>
  <c r="F52" i="2"/>
  <c r="C53" i="2"/>
  <c r="F53" i="2"/>
  <c r="C54" i="2"/>
  <c r="F54" i="2"/>
  <c r="C55" i="2"/>
  <c r="F55" i="2"/>
  <c r="C56" i="2"/>
  <c r="F56" i="2"/>
  <c r="C57" i="2"/>
  <c r="C58" i="2"/>
  <c r="F58" i="2"/>
  <c r="C59" i="2"/>
  <c r="F59" i="2"/>
  <c r="C60" i="2"/>
  <c r="F60" i="2"/>
  <c r="C61" i="2"/>
  <c r="F61" i="2"/>
  <c r="B62" i="2"/>
  <c r="E62" i="2"/>
  <c r="C66" i="2"/>
  <c r="F66" i="2"/>
  <c r="AB54" i="1"/>
  <c r="C67" i="2"/>
  <c r="G316" i="1"/>
  <c r="G329" i="1"/>
  <c r="C68" i="2"/>
  <c r="C69" i="2"/>
  <c r="C70" i="2"/>
  <c r="C71" i="2"/>
  <c r="C72" i="2"/>
  <c r="F72" i="2"/>
  <c r="C73" i="2"/>
  <c r="C74" i="2"/>
  <c r="C75" i="2"/>
  <c r="C76" i="2"/>
  <c r="B77" i="2"/>
  <c r="D77" i="2"/>
  <c r="B95" i="2"/>
  <c r="B96" i="2"/>
  <c r="B81" i="2"/>
  <c r="D96" i="2"/>
  <c r="D81" i="2"/>
  <c r="B97" i="2"/>
  <c r="M316" i="1"/>
  <c r="M329" i="1"/>
  <c r="D97" i="2"/>
  <c r="O316" i="1"/>
  <c r="O329" i="1"/>
  <c r="E97" i="2"/>
  <c r="E107" i="2"/>
  <c r="B98" i="2"/>
  <c r="D98" i="2"/>
  <c r="E98" i="2"/>
  <c r="B99" i="2"/>
  <c r="D99" i="2"/>
  <c r="E99" i="2"/>
  <c r="B100" i="2"/>
  <c r="D100" i="2"/>
  <c r="E100" i="2"/>
  <c r="B101" i="2"/>
  <c r="B86" i="2"/>
  <c r="D101" i="2"/>
  <c r="B102" i="2"/>
  <c r="D102" i="2"/>
  <c r="D87" i="2"/>
  <c r="B103" i="2"/>
  <c r="D103" i="2"/>
  <c r="E103" i="2"/>
  <c r="B104" i="2"/>
  <c r="D104" i="2"/>
  <c r="E104" i="2"/>
  <c r="E89" i="2"/>
  <c r="B105" i="2"/>
  <c r="D105" i="2"/>
  <c r="E105" i="2"/>
  <c r="B106" i="2"/>
  <c r="B91" i="2"/>
  <c r="E106" i="2"/>
  <c r="G111" i="2"/>
  <c r="G114" i="2"/>
  <c r="G112" i="2"/>
  <c r="G113" i="2"/>
  <c r="B114" i="2"/>
  <c r="C293" i="1"/>
  <c r="C114" i="2"/>
  <c r="D293" i="1"/>
  <c r="D114" i="2"/>
  <c r="E293" i="1"/>
  <c r="E114" i="2"/>
  <c r="F293" i="1"/>
  <c r="F114" i="2"/>
  <c r="G293" i="1"/>
  <c r="G116" i="2"/>
  <c r="G117" i="2"/>
  <c r="G118" i="2"/>
  <c r="B119" i="2"/>
  <c r="C294" i="1"/>
  <c r="C119" i="2"/>
  <c r="D294" i="1"/>
  <c r="D119" i="2"/>
  <c r="E294" i="1"/>
  <c r="E119" i="2"/>
  <c r="F294" i="1"/>
  <c r="F119" i="2"/>
  <c r="G294" i="1"/>
  <c r="G121" i="2"/>
  <c r="G122" i="2"/>
  <c r="G123" i="2"/>
  <c r="B124" i="2"/>
  <c r="C296" i="1"/>
  <c r="I296" i="1" s="1"/>
  <c r="C124" i="2"/>
  <c r="D296" i="1"/>
  <c r="D309" i="1"/>
  <c r="D124" i="2"/>
  <c r="E296" i="1"/>
  <c r="E309" i="1"/>
  <c r="E124" i="2"/>
  <c r="F296" i="1"/>
  <c r="F309" i="1" s="1"/>
  <c r="F124" i="2"/>
  <c r="G296" i="1"/>
  <c r="G309" i="1"/>
  <c r="G130" i="2"/>
  <c r="G133" i="2"/>
  <c r="G145" i="2"/>
  <c r="G131" i="2"/>
  <c r="G132" i="2"/>
  <c r="B133" i="2"/>
  <c r="C133" i="2"/>
  <c r="D133" i="2"/>
  <c r="E133" i="2"/>
  <c r="F133" i="2"/>
  <c r="G135" i="2"/>
  <c r="G136" i="2"/>
  <c r="G137" i="2"/>
  <c r="B138" i="2"/>
  <c r="C138" i="2"/>
  <c r="D138" i="2"/>
  <c r="E138" i="2"/>
  <c r="F138" i="2"/>
  <c r="G140" i="2"/>
  <c r="G141" i="2"/>
  <c r="G142" i="2"/>
  <c r="B143" i="2"/>
  <c r="C143" i="2"/>
  <c r="D143" i="2"/>
  <c r="E143" i="2"/>
  <c r="F143" i="2"/>
  <c r="G149" i="2"/>
  <c r="G150" i="2"/>
  <c r="G151" i="2"/>
  <c r="B152" i="2"/>
  <c r="C152" i="2"/>
  <c r="D152" i="2"/>
  <c r="E152" i="2"/>
  <c r="F152" i="2"/>
  <c r="G154" i="2"/>
  <c r="G155" i="2"/>
  <c r="G157" i="2"/>
  <c r="G156" i="2"/>
  <c r="B157" i="2"/>
  <c r="C157" i="2"/>
  <c r="D157" i="2"/>
  <c r="E157" i="2"/>
  <c r="F157" i="2"/>
  <c r="G159" i="2"/>
  <c r="G160" i="2"/>
  <c r="G161" i="2"/>
  <c r="B162" i="2"/>
  <c r="C162" i="2"/>
  <c r="D162" i="2"/>
  <c r="E162" i="2"/>
  <c r="F162" i="2"/>
  <c r="G168" i="2"/>
  <c r="G169" i="2"/>
  <c r="G170" i="2"/>
  <c r="B171" i="2"/>
  <c r="C171" i="2"/>
  <c r="D171" i="2"/>
  <c r="E171" i="2"/>
  <c r="F171" i="2"/>
  <c r="G173" i="2"/>
  <c r="G174" i="2"/>
  <c r="G175" i="2"/>
  <c r="B176" i="2"/>
  <c r="C176" i="2"/>
  <c r="D176" i="2"/>
  <c r="E176" i="2"/>
  <c r="F176" i="2"/>
  <c r="G178" i="2"/>
  <c r="G179" i="2"/>
  <c r="G180" i="2"/>
  <c r="B181" i="2"/>
  <c r="C181" i="2"/>
  <c r="D181" i="2"/>
  <c r="E181" i="2"/>
  <c r="F181" i="2"/>
  <c r="AK190" i="2"/>
  <c r="AK191" i="2"/>
  <c r="AK192" i="2"/>
  <c r="AK193" i="2"/>
  <c r="B193" i="2"/>
  <c r="C173" i="1"/>
  <c r="C193" i="2"/>
  <c r="D173" i="1"/>
  <c r="D193" i="2"/>
  <c r="E173" i="1"/>
  <c r="E193" i="2"/>
  <c r="F173" i="1"/>
  <c r="F193" i="2"/>
  <c r="G173" i="1"/>
  <c r="G233" i="1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AC193" i="2"/>
  <c r="AD193" i="2"/>
  <c r="AE193" i="2"/>
  <c r="AF193" i="2"/>
  <c r="AG193" i="2"/>
  <c r="J173" i="1"/>
  <c r="J233" i="1"/>
  <c r="AH193" i="2"/>
  <c r="I173" i="1"/>
  <c r="AI193" i="2"/>
  <c r="AJ193" i="2"/>
  <c r="AK195" i="2"/>
  <c r="AK196" i="2"/>
  <c r="AK197" i="2"/>
  <c r="B198" i="2"/>
  <c r="C174" i="1"/>
  <c r="C198" i="2"/>
  <c r="D174" i="1"/>
  <c r="D198" i="2"/>
  <c r="E174" i="1"/>
  <c r="E198" i="2"/>
  <c r="F174" i="1"/>
  <c r="F198" i="2"/>
  <c r="G174" i="1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J174" i="1"/>
  <c r="J234" i="1"/>
  <c r="AH198" i="2"/>
  <c r="I174" i="1"/>
  <c r="AI198" i="2"/>
  <c r="AJ198" i="2"/>
  <c r="AK200" i="2"/>
  <c r="AK201" i="2"/>
  <c r="AK202" i="2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I203" i="2"/>
  <c r="AJ203" i="2"/>
  <c r="AK205" i="2"/>
  <c r="AK208" i="2"/>
  <c r="AK206" i="2"/>
  <c r="AK207" i="2"/>
  <c r="AK334" i="2"/>
  <c r="B208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AA208" i="2"/>
  <c r="AB208" i="2"/>
  <c r="AC208" i="2"/>
  <c r="AD208" i="2"/>
  <c r="AE208" i="2"/>
  <c r="AF208" i="2"/>
  <c r="AG208" i="2"/>
  <c r="AH208" i="2"/>
  <c r="AI208" i="2"/>
  <c r="AJ208" i="2"/>
  <c r="AK210" i="2"/>
  <c r="AK211" i="2"/>
  <c r="AK212" i="2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AI213" i="2"/>
  <c r="AJ213" i="2"/>
  <c r="AK215" i="2"/>
  <c r="AK216" i="2"/>
  <c r="AK217" i="2"/>
  <c r="B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AF218" i="2"/>
  <c r="AG218" i="2"/>
  <c r="AH218" i="2"/>
  <c r="AI218" i="2"/>
  <c r="AJ218" i="2"/>
  <c r="AK220" i="2"/>
  <c r="AK221" i="2"/>
  <c r="AK223" i="2"/>
  <c r="AK222" i="2"/>
  <c r="B223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AA223" i="2"/>
  <c r="AB223" i="2"/>
  <c r="AC223" i="2"/>
  <c r="AD223" i="2"/>
  <c r="AE223" i="2"/>
  <c r="AF223" i="2"/>
  <c r="AG223" i="2"/>
  <c r="AH223" i="2"/>
  <c r="AI223" i="2"/>
  <c r="AJ223" i="2"/>
  <c r="AK225" i="2"/>
  <c r="AK226" i="2"/>
  <c r="AK227" i="2"/>
  <c r="B228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W228" i="2"/>
  <c r="X228" i="2"/>
  <c r="Y228" i="2"/>
  <c r="Z228" i="2"/>
  <c r="AA228" i="2"/>
  <c r="AB228" i="2"/>
  <c r="AC228" i="2"/>
  <c r="AD228" i="2"/>
  <c r="AE228" i="2"/>
  <c r="AF228" i="2"/>
  <c r="AG228" i="2"/>
  <c r="AH228" i="2"/>
  <c r="AI228" i="2"/>
  <c r="AJ228" i="2"/>
  <c r="AM228" i="2"/>
  <c r="AN228" i="2"/>
  <c r="AK230" i="2"/>
  <c r="AK231" i="2"/>
  <c r="AK232" i="2"/>
  <c r="B233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W233" i="2"/>
  <c r="X233" i="2"/>
  <c r="Y233" i="2"/>
  <c r="Z233" i="2"/>
  <c r="AA233" i="2"/>
  <c r="AB233" i="2"/>
  <c r="AC233" i="2"/>
  <c r="AD233" i="2"/>
  <c r="AE233" i="2"/>
  <c r="AF233" i="2"/>
  <c r="AG233" i="2"/>
  <c r="AH233" i="2"/>
  <c r="AI233" i="2"/>
  <c r="AJ233" i="2"/>
  <c r="AK235" i="2"/>
  <c r="AK236" i="2"/>
  <c r="AK238" i="2"/>
  <c r="AO236" i="2"/>
  <c r="B238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W238" i="2"/>
  <c r="X238" i="2"/>
  <c r="Y238" i="2"/>
  <c r="Z238" i="2"/>
  <c r="AA238" i="2"/>
  <c r="AB238" i="2"/>
  <c r="AC238" i="2"/>
  <c r="AD238" i="2"/>
  <c r="AE238" i="2"/>
  <c r="AF238" i="2"/>
  <c r="AG238" i="2"/>
  <c r="AH238" i="2"/>
  <c r="AI238" i="2"/>
  <c r="AJ238" i="2"/>
  <c r="AK240" i="2"/>
  <c r="AK241" i="2"/>
  <c r="AK242" i="2"/>
  <c r="B243" i="2"/>
  <c r="C243" i="2"/>
  <c r="D243" i="2"/>
  <c r="E243" i="2"/>
  <c r="F243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T243" i="2"/>
  <c r="U243" i="2"/>
  <c r="V243" i="2"/>
  <c r="W243" i="2"/>
  <c r="X243" i="2"/>
  <c r="Y243" i="2"/>
  <c r="Z243" i="2"/>
  <c r="AA243" i="2"/>
  <c r="AB243" i="2"/>
  <c r="AC243" i="2"/>
  <c r="AD243" i="2"/>
  <c r="AE243" i="2"/>
  <c r="AF243" i="2"/>
  <c r="AG243" i="2"/>
  <c r="AH243" i="2"/>
  <c r="AI243" i="2"/>
  <c r="AJ243" i="2"/>
  <c r="AK245" i="2"/>
  <c r="AK246" i="2"/>
  <c r="AK247" i="2"/>
  <c r="B248" i="2"/>
  <c r="C248" i="2"/>
  <c r="D248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T248" i="2"/>
  <c r="U248" i="2"/>
  <c r="V248" i="2"/>
  <c r="W248" i="2"/>
  <c r="X248" i="2"/>
  <c r="Y248" i="2"/>
  <c r="Z248" i="2"/>
  <c r="AA248" i="2"/>
  <c r="AB248" i="2"/>
  <c r="AC248" i="2"/>
  <c r="AD248" i="2"/>
  <c r="AE248" i="2"/>
  <c r="AF248" i="2"/>
  <c r="AG248" i="2"/>
  <c r="AH248" i="2"/>
  <c r="AI248" i="2"/>
  <c r="AJ248" i="2"/>
  <c r="AK254" i="2"/>
  <c r="AK255" i="2"/>
  <c r="AK256" i="2"/>
  <c r="B257" i="2"/>
  <c r="C257" i="2"/>
  <c r="D257" i="2"/>
  <c r="E257" i="2"/>
  <c r="F257" i="2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T257" i="2"/>
  <c r="U257" i="2"/>
  <c r="V257" i="2"/>
  <c r="W257" i="2"/>
  <c r="X257" i="2"/>
  <c r="Y257" i="2"/>
  <c r="Z257" i="2"/>
  <c r="AA257" i="2"/>
  <c r="AB257" i="2"/>
  <c r="AC257" i="2"/>
  <c r="AD257" i="2"/>
  <c r="AE257" i="2"/>
  <c r="AF257" i="2"/>
  <c r="AG257" i="2"/>
  <c r="AH257" i="2"/>
  <c r="AI257" i="2"/>
  <c r="AJ257" i="2"/>
  <c r="AK259" i="2"/>
  <c r="AK260" i="2"/>
  <c r="AK261" i="2"/>
  <c r="B262" i="2"/>
  <c r="C262" i="2"/>
  <c r="D262" i="2"/>
  <c r="E262" i="2"/>
  <c r="F262" i="2"/>
  <c r="G262" i="2"/>
  <c r="H262" i="2"/>
  <c r="I262" i="2"/>
  <c r="J262" i="2"/>
  <c r="K262" i="2"/>
  <c r="L262" i="2"/>
  <c r="M262" i="2"/>
  <c r="N262" i="2"/>
  <c r="O262" i="2"/>
  <c r="P262" i="2"/>
  <c r="Q262" i="2"/>
  <c r="R262" i="2"/>
  <c r="S262" i="2"/>
  <c r="T262" i="2"/>
  <c r="U262" i="2"/>
  <c r="V262" i="2"/>
  <c r="W262" i="2"/>
  <c r="X262" i="2"/>
  <c r="Y262" i="2"/>
  <c r="Z262" i="2"/>
  <c r="AA262" i="2"/>
  <c r="AB262" i="2"/>
  <c r="AC262" i="2"/>
  <c r="AD262" i="2"/>
  <c r="AE262" i="2"/>
  <c r="AF262" i="2"/>
  <c r="AG262" i="2"/>
  <c r="AH262" i="2"/>
  <c r="AI262" i="2"/>
  <c r="AJ262" i="2"/>
  <c r="AK264" i="2"/>
  <c r="AK265" i="2"/>
  <c r="AK266" i="2"/>
  <c r="B267" i="2"/>
  <c r="C267" i="2"/>
  <c r="D267" i="2"/>
  <c r="E267" i="2"/>
  <c r="F267" i="2"/>
  <c r="G267" i="2"/>
  <c r="H267" i="2"/>
  <c r="I267" i="2"/>
  <c r="J267" i="2"/>
  <c r="K267" i="2"/>
  <c r="L267" i="2"/>
  <c r="M267" i="2"/>
  <c r="N267" i="2"/>
  <c r="O267" i="2"/>
  <c r="P267" i="2"/>
  <c r="Q267" i="2"/>
  <c r="R267" i="2"/>
  <c r="S267" i="2"/>
  <c r="T267" i="2"/>
  <c r="U267" i="2"/>
  <c r="V267" i="2"/>
  <c r="W267" i="2"/>
  <c r="X267" i="2"/>
  <c r="Y267" i="2"/>
  <c r="Z267" i="2"/>
  <c r="AA267" i="2"/>
  <c r="AB267" i="2"/>
  <c r="AC267" i="2"/>
  <c r="AD267" i="2"/>
  <c r="AE267" i="2"/>
  <c r="AF267" i="2"/>
  <c r="AG267" i="2"/>
  <c r="AH267" i="2"/>
  <c r="AI267" i="2"/>
  <c r="AJ267" i="2"/>
  <c r="AK269" i="2"/>
  <c r="AK272" i="2"/>
  <c r="AK270" i="2"/>
  <c r="AK271" i="2"/>
  <c r="B272" i="2"/>
  <c r="C272" i="2"/>
  <c r="D272" i="2"/>
  <c r="E272" i="2"/>
  <c r="F272" i="2"/>
  <c r="G272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T272" i="2"/>
  <c r="U272" i="2"/>
  <c r="V272" i="2"/>
  <c r="W272" i="2"/>
  <c r="X272" i="2"/>
  <c r="Y272" i="2"/>
  <c r="Z272" i="2"/>
  <c r="AA272" i="2"/>
  <c r="AB272" i="2"/>
  <c r="AC272" i="2"/>
  <c r="AD272" i="2"/>
  <c r="AE272" i="2"/>
  <c r="AF272" i="2"/>
  <c r="AG272" i="2"/>
  <c r="AH272" i="2"/>
  <c r="AI272" i="2"/>
  <c r="AJ272" i="2"/>
  <c r="AK274" i="2"/>
  <c r="AK275" i="2"/>
  <c r="AK276" i="2"/>
  <c r="B277" i="2"/>
  <c r="C277" i="2"/>
  <c r="D277" i="2"/>
  <c r="E277" i="2"/>
  <c r="F277" i="2"/>
  <c r="G277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T277" i="2"/>
  <c r="U277" i="2"/>
  <c r="V277" i="2"/>
  <c r="W277" i="2"/>
  <c r="X277" i="2"/>
  <c r="Y277" i="2"/>
  <c r="Z277" i="2"/>
  <c r="AA277" i="2"/>
  <c r="AB277" i="2"/>
  <c r="AC277" i="2"/>
  <c r="AD277" i="2"/>
  <c r="AE277" i="2"/>
  <c r="AF277" i="2"/>
  <c r="AG277" i="2"/>
  <c r="AH277" i="2"/>
  <c r="AI277" i="2"/>
  <c r="AJ277" i="2"/>
  <c r="AK279" i="2"/>
  <c r="AK342" i="2"/>
  <c r="AK280" i="2"/>
  <c r="AK281" i="2"/>
  <c r="B282" i="2"/>
  <c r="C282" i="2"/>
  <c r="D282" i="2"/>
  <c r="E282" i="2"/>
  <c r="F282" i="2"/>
  <c r="G282" i="2"/>
  <c r="H282" i="2"/>
  <c r="I282" i="2"/>
  <c r="J282" i="2"/>
  <c r="K282" i="2"/>
  <c r="L282" i="2"/>
  <c r="M282" i="2"/>
  <c r="N282" i="2"/>
  <c r="O282" i="2"/>
  <c r="P282" i="2"/>
  <c r="Q282" i="2"/>
  <c r="R282" i="2"/>
  <c r="S282" i="2"/>
  <c r="T282" i="2"/>
  <c r="U282" i="2"/>
  <c r="V282" i="2"/>
  <c r="W282" i="2"/>
  <c r="X282" i="2"/>
  <c r="Y282" i="2"/>
  <c r="Z282" i="2"/>
  <c r="AA282" i="2"/>
  <c r="AB282" i="2"/>
  <c r="AC282" i="2"/>
  <c r="AD282" i="2"/>
  <c r="AE282" i="2"/>
  <c r="AF282" i="2"/>
  <c r="AG282" i="2"/>
  <c r="AH282" i="2"/>
  <c r="AI282" i="2"/>
  <c r="AJ282" i="2"/>
  <c r="AK284" i="2"/>
  <c r="AK285" i="2"/>
  <c r="AK287" i="2"/>
  <c r="AK286" i="2"/>
  <c r="B287" i="2"/>
  <c r="C287" i="2"/>
  <c r="D287" i="2"/>
  <c r="E287" i="2"/>
  <c r="F287" i="2"/>
  <c r="G287" i="2"/>
  <c r="H287" i="2"/>
  <c r="I287" i="2"/>
  <c r="J287" i="2"/>
  <c r="K287" i="2"/>
  <c r="L287" i="2"/>
  <c r="M287" i="2"/>
  <c r="N287" i="2"/>
  <c r="O287" i="2"/>
  <c r="P287" i="2"/>
  <c r="Q287" i="2"/>
  <c r="R287" i="2"/>
  <c r="S287" i="2"/>
  <c r="T287" i="2"/>
  <c r="U287" i="2"/>
  <c r="V287" i="2"/>
  <c r="W287" i="2"/>
  <c r="X287" i="2"/>
  <c r="Y287" i="2"/>
  <c r="Z287" i="2"/>
  <c r="AA287" i="2"/>
  <c r="AB287" i="2"/>
  <c r="AC287" i="2"/>
  <c r="AD287" i="2"/>
  <c r="AE287" i="2"/>
  <c r="AF287" i="2"/>
  <c r="AG287" i="2"/>
  <c r="AH287" i="2"/>
  <c r="AI287" i="2"/>
  <c r="AJ287" i="2"/>
  <c r="AK289" i="2"/>
  <c r="AK290" i="2"/>
  <c r="AK291" i="2"/>
  <c r="AK292" i="2"/>
  <c r="B292" i="2"/>
  <c r="C292" i="2"/>
  <c r="D292" i="2"/>
  <c r="E292" i="2"/>
  <c r="F292" i="2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T292" i="2"/>
  <c r="U292" i="2"/>
  <c r="V292" i="2"/>
  <c r="W292" i="2"/>
  <c r="X292" i="2"/>
  <c r="Y292" i="2"/>
  <c r="Z292" i="2"/>
  <c r="AA292" i="2"/>
  <c r="AB292" i="2"/>
  <c r="AC292" i="2"/>
  <c r="AD292" i="2"/>
  <c r="AE292" i="2"/>
  <c r="AF292" i="2"/>
  <c r="AG292" i="2"/>
  <c r="AH292" i="2"/>
  <c r="AI292" i="2"/>
  <c r="AJ292" i="2"/>
  <c r="AK294" i="2"/>
  <c r="AK297" i="2"/>
  <c r="AK295" i="2"/>
  <c r="AK296" i="2"/>
  <c r="AN296" i="2"/>
  <c r="B297" i="2"/>
  <c r="C297" i="2"/>
  <c r="D297" i="2"/>
  <c r="E297" i="2"/>
  <c r="F297" i="2"/>
  <c r="G297" i="2"/>
  <c r="H297" i="2"/>
  <c r="I297" i="2"/>
  <c r="J297" i="2"/>
  <c r="K297" i="2"/>
  <c r="L297" i="2"/>
  <c r="M297" i="2"/>
  <c r="N297" i="2"/>
  <c r="O297" i="2"/>
  <c r="P297" i="2"/>
  <c r="Q297" i="2"/>
  <c r="R297" i="2"/>
  <c r="S297" i="2"/>
  <c r="T297" i="2"/>
  <c r="U297" i="2"/>
  <c r="V297" i="2"/>
  <c r="W297" i="2"/>
  <c r="X297" i="2"/>
  <c r="Y297" i="2"/>
  <c r="Z297" i="2"/>
  <c r="AA297" i="2"/>
  <c r="AB297" i="2"/>
  <c r="AC297" i="2"/>
  <c r="AD297" i="2"/>
  <c r="AE297" i="2"/>
  <c r="AF297" i="2"/>
  <c r="AG297" i="2"/>
  <c r="AH297" i="2"/>
  <c r="AI297" i="2"/>
  <c r="AJ297" i="2"/>
  <c r="AK299" i="2"/>
  <c r="AK302" i="2"/>
  <c r="AK300" i="2"/>
  <c r="AK301" i="2"/>
  <c r="B302" i="2"/>
  <c r="C302" i="2"/>
  <c r="D302" i="2"/>
  <c r="E302" i="2"/>
  <c r="F302" i="2"/>
  <c r="G302" i="2"/>
  <c r="H302" i="2"/>
  <c r="I302" i="2"/>
  <c r="J302" i="2"/>
  <c r="K302" i="2"/>
  <c r="L302" i="2"/>
  <c r="M302" i="2"/>
  <c r="N302" i="2"/>
  <c r="O302" i="2"/>
  <c r="P302" i="2"/>
  <c r="Q302" i="2"/>
  <c r="R302" i="2"/>
  <c r="S302" i="2"/>
  <c r="T302" i="2"/>
  <c r="U302" i="2"/>
  <c r="V302" i="2"/>
  <c r="W302" i="2"/>
  <c r="X302" i="2"/>
  <c r="Y302" i="2"/>
  <c r="Z302" i="2"/>
  <c r="AA302" i="2"/>
  <c r="AB302" i="2"/>
  <c r="AC302" i="2"/>
  <c r="AD302" i="2"/>
  <c r="AE302" i="2"/>
  <c r="AF302" i="2"/>
  <c r="AG302" i="2"/>
  <c r="AH302" i="2"/>
  <c r="AI302" i="2"/>
  <c r="AJ302" i="2"/>
  <c r="AK304" i="2"/>
  <c r="AK305" i="2"/>
  <c r="AK306" i="2"/>
  <c r="AK369" i="2"/>
  <c r="B307" i="2"/>
  <c r="C307" i="2"/>
  <c r="D307" i="2"/>
  <c r="E307" i="2"/>
  <c r="F307" i="2"/>
  <c r="G307" i="2"/>
  <c r="H307" i="2"/>
  <c r="I307" i="2"/>
  <c r="J307" i="2"/>
  <c r="K307" i="2"/>
  <c r="L307" i="2"/>
  <c r="M307" i="2"/>
  <c r="N307" i="2"/>
  <c r="O307" i="2"/>
  <c r="P307" i="2"/>
  <c r="Q307" i="2"/>
  <c r="R307" i="2"/>
  <c r="S307" i="2"/>
  <c r="T307" i="2"/>
  <c r="U307" i="2"/>
  <c r="V307" i="2"/>
  <c r="W307" i="2"/>
  <c r="X307" i="2"/>
  <c r="Y307" i="2"/>
  <c r="Z307" i="2"/>
  <c r="AA307" i="2"/>
  <c r="AB307" i="2"/>
  <c r="AC307" i="2"/>
  <c r="AD307" i="2"/>
  <c r="AE307" i="2"/>
  <c r="AF307" i="2"/>
  <c r="AG307" i="2"/>
  <c r="AH307" i="2"/>
  <c r="AI307" i="2"/>
  <c r="AJ307" i="2"/>
  <c r="AK309" i="2"/>
  <c r="AK372" i="2"/>
  <c r="AK310" i="2"/>
  <c r="AK373" i="2"/>
  <c r="AK311" i="2"/>
  <c r="B312" i="2"/>
  <c r="C312" i="2"/>
  <c r="D312" i="2"/>
  <c r="E312" i="2"/>
  <c r="F312" i="2"/>
  <c r="G312" i="2"/>
  <c r="H312" i="2"/>
  <c r="I312" i="2"/>
  <c r="J312" i="2"/>
  <c r="K312" i="2"/>
  <c r="L312" i="2"/>
  <c r="M312" i="2"/>
  <c r="N312" i="2"/>
  <c r="O312" i="2"/>
  <c r="P312" i="2"/>
  <c r="Q312" i="2"/>
  <c r="R312" i="2"/>
  <c r="S312" i="2"/>
  <c r="T312" i="2"/>
  <c r="U312" i="2"/>
  <c r="V312" i="2"/>
  <c r="W312" i="2"/>
  <c r="X312" i="2"/>
  <c r="Y312" i="2"/>
  <c r="Z312" i="2"/>
  <c r="AA312" i="2"/>
  <c r="AB312" i="2"/>
  <c r="AC312" i="2"/>
  <c r="AD312" i="2"/>
  <c r="AE312" i="2"/>
  <c r="AF312" i="2"/>
  <c r="AG312" i="2"/>
  <c r="AH312" i="2"/>
  <c r="AI312" i="2"/>
  <c r="AJ312" i="2"/>
  <c r="B317" i="2"/>
  <c r="C317" i="2"/>
  <c r="D317" i="2"/>
  <c r="E317" i="2"/>
  <c r="E320" i="2"/>
  <c r="F317" i="2"/>
  <c r="G317" i="2"/>
  <c r="H317" i="2"/>
  <c r="H320" i="2"/>
  <c r="I317" i="2"/>
  <c r="J317" i="2"/>
  <c r="K317" i="2"/>
  <c r="L317" i="2"/>
  <c r="M317" i="2"/>
  <c r="N317" i="2"/>
  <c r="O317" i="2"/>
  <c r="P317" i="2"/>
  <c r="P320" i="2"/>
  <c r="Q317" i="2"/>
  <c r="R317" i="2"/>
  <c r="R320" i="2"/>
  <c r="S317" i="2"/>
  <c r="T317" i="2"/>
  <c r="U317" i="2"/>
  <c r="V317" i="2"/>
  <c r="W317" i="2"/>
  <c r="X317" i="2"/>
  <c r="Y317" i="2"/>
  <c r="Z317" i="2"/>
  <c r="AA317" i="2"/>
  <c r="AB317" i="2"/>
  <c r="AC317" i="2"/>
  <c r="AC320" i="2"/>
  <c r="AD317" i="2"/>
  <c r="AE317" i="2"/>
  <c r="AF317" i="2"/>
  <c r="AG317" i="2"/>
  <c r="AH317" i="2"/>
  <c r="AH320" i="2"/>
  <c r="AI317" i="2"/>
  <c r="AJ317" i="2"/>
  <c r="B318" i="2"/>
  <c r="C318" i="2"/>
  <c r="D318" i="2"/>
  <c r="E318" i="2"/>
  <c r="F318" i="2"/>
  <c r="G318" i="2"/>
  <c r="H318" i="2"/>
  <c r="I318" i="2"/>
  <c r="J318" i="2"/>
  <c r="K318" i="2"/>
  <c r="K320" i="2"/>
  <c r="L318" i="2"/>
  <c r="M318" i="2"/>
  <c r="N318" i="2"/>
  <c r="O318" i="2"/>
  <c r="O320" i="2"/>
  <c r="P318" i="2"/>
  <c r="Q318" i="2"/>
  <c r="R318" i="2"/>
  <c r="S318" i="2"/>
  <c r="T318" i="2"/>
  <c r="U318" i="2"/>
  <c r="U320" i="2"/>
  <c r="V318" i="2"/>
  <c r="W318" i="2"/>
  <c r="X318" i="2"/>
  <c r="Y318" i="2"/>
  <c r="Z318" i="2"/>
  <c r="AA318" i="2"/>
  <c r="AB318" i="2"/>
  <c r="AC318" i="2"/>
  <c r="AD318" i="2"/>
  <c r="AE318" i="2"/>
  <c r="AF318" i="2"/>
  <c r="AG318" i="2"/>
  <c r="AH318" i="2"/>
  <c r="AI318" i="2"/>
  <c r="AJ318" i="2"/>
  <c r="B319" i="2"/>
  <c r="C319" i="2"/>
  <c r="D319" i="2"/>
  <c r="E319" i="2"/>
  <c r="F319" i="2"/>
  <c r="G319" i="2"/>
  <c r="G320" i="2"/>
  <c r="H319" i="2"/>
  <c r="I319" i="2"/>
  <c r="J319" i="2"/>
  <c r="K319" i="2"/>
  <c r="L319" i="2"/>
  <c r="L320" i="2"/>
  <c r="M319" i="2"/>
  <c r="M320" i="2"/>
  <c r="N319" i="2"/>
  <c r="N320" i="2"/>
  <c r="O319" i="2"/>
  <c r="P319" i="2"/>
  <c r="Q319" i="2"/>
  <c r="Q320" i="2"/>
  <c r="R319" i="2"/>
  <c r="S319" i="2"/>
  <c r="T319" i="2"/>
  <c r="T320" i="2"/>
  <c r="U319" i="2"/>
  <c r="V319" i="2"/>
  <c r="W319" i="2"/>
  <c r="X319" i="2"/>
  <c r="Y319" i="2"/>
  <c r="Y320" i="2"/>
  <c r="Z319" i="2"/>
  <c r="AA319" i="2"/>
  <c r="AB319" i="2"/>
  <c r="AB320" i="2"/>
  <c r="AC319" i="2"/>
  <c r="AD319" i="2"/>
  <c r="AE319" i="2"/>
  <c r="AF319" i="2"/>
  <c r="AG319" i="2"/>
  <c r="AG320" i="2"/>
  <c r="J193" i="1"/>
  <c r="J213" i="1"/>
  <c r="AH319" i="2"/>
  <c r="AI319" i="2"/>
  <c r="AJ319" i="2"/>
  <c r="B322" i="2"/>
  <c r="C322" i="2"/>
  <c r="D322" i="2"/>
  <c r="E322" i="2"/>
  <c r="F322" i="2"/>
  <c r="G322" i="2"/>
  <c r="H322" i="2"/>
  <c r="I322" i="2"/>
  <c r="J322" i="2"/>
  <c r="K322" i="2"/>
  <c r="L322" i="2"/>
  <c r="L325" i="2"/>
  <c r="M322" i="2"/>
  <c r="N322" i="2"/>
  <c r="O322" i="2"/>
  <c r="P322" i="2"/>
  <c r="Q322" i="2"/>
  <c r="R322" i="2"/>
  <c r="S322" i="2"/>
  <c r="T322" i="2"/>
  <c r="U322" i="2"/>
  <c r="V322" i="2"/>
  <c r="W322" i="2"/>
  <c r="X322" i="2"/>
  <c r="X325" i="2"/>
  <c r="Y322" i="2"/>
  <c r="Y325" i="2"/>
  <c r="Z322" i="2"/>
  <c r="Z325" i="2"/>
  <c r="AA322" i="2"/>
  <c r="AB322" i="2"/>
  <c r="AB325" i="2"/>
  <c r="AC322" i="2"/>
  <c r="AD322" i="2"/>
  <c r="AE322" i="2"/>
  <c r="AF322" i="2"/>
  <c r="AG322" i="2"/>
  <c r="AG325" i="2"/>
  <c r="J194" i="1"/>
  <c r="AH322" i="2"/>
  <c r="AI322" i="2"/>
  <c r="AJ322" i="2"/>
  <c r="B323" i="2"/>
  <c r="C323" i="2"/>
  <c r="D323" i="2"/>
  <c r="E323" i="2"/>
  <c r="F323" i="2"/>
  <c r="G323" i="2"/>
  <c r="H323" i="2"/>
  <c r="I323" i="2"/>
  <c r="J323" i="2"/>
  <c r="K323" i="2"/>
  <c r="L323" i="2"/>
  <c r="M323" i="2"/>
  <c r="N323" i="2"/>
  <c r="O323" i="2"/>
  <c r="P323" i="2"/>
  <c r="Q323" i="2"/>
  <c r="R323" i="2"/>
  <c r="S323" i="2"/>
  <c r="T323" i="2"/>
  <c r="U323" i="2"/>
  <c r="V323" i="2"/>
  <c r="W323" i="2"/>
  <c r="X323" i="2"/>
  <c r="Y323" i="2"/>
  <c r="Z323" i="2"/>
  <c r="AA323" i="2"/>
  <c r="AB323" i="2"/>
  <c r="AC323" i="2"/>
  <c r="AC325" i="2"/>
  <c r="AD323" i="2"/>
  <c r="AE323" i="2"/>
  <c r="AF323" i="2"/>
  <c r="AG323" i="2"/>
  <c r="AH323" i="2"/>
  <c r="AI323" i="2"/>
  <c r="AJ323" i="2"/>
  <c r="B324" i="2"/>
  <c r="C324" i="2"/>
  <c r="D324" i="2"/>
  <c r="E324" i="2"/>
  <c r="F324" i="2"/>
  <c r="G324" i="2"/>
  <c r="H324" i="2"/>
  <c r="I324" i="2"/>
  <c r="J324" i="2"/>
  <c r="K324" i="2"/>
  <c r="L324" i="2"/>
  <c r="M324" i="2"/>
  <c r="N324" i="2"/>
  <c r="O324" i="2"/>
  <c r="P324" i="2"/>
  <c r="Q324" i="2"/>
  <c r="Q325" i="2"/>
  <c r="R324" i="2"/>
  <c r="S324" i="2"/>
  <c r="T324" i="2"/>
  <c r="U324" i="2"/>
  <c r="V324" i="2"/>
  <c r="W324" i="2"/>
  <c r="X324" i="2"/>
  <c r="Y324" i="2"/>
  <c r="Z324" i="2"/>
  <c r="AA324" i="2"/>
  <c r="AB324" i="2"/>
  <c r="AC324" i="2"/>
  <c r="AD324" i="2"/>
  <c r="AE324" i="2"/>
  <c r="AF324" i="2"/>
  <c r="AG324" i="2"/>
  <c r="AH324" i="2"/>
  <c r="AI324" i="2"/>
  <c r="AJ324" i="2"/>
  <c r="B327" i="2"/>
  <c r="C327" i="2"/>
  <c r="D327" i="2"/>
  <c r="E327" i="2"/>
  <c r="E330" i="2"/>
  <c r="F327" i="2"/>
  <c r="G327" i="2"/>
  <c r="H327" i="2"/>
  <c r="I327" i="2"/>
  <c r="I330" i="2"/>
  <c r="I376" i="2"/>
  <c r="J327" i="2"/>
  <c r="K327" i="2"/>
  <c r="L327" i="2"/>
  <c r="M327" i="2"/>
  <c r="M330" i="2"/>
  <c r="N327" i="2"/>
  <c r="O327" i="2"/>
  <c r="P327" i="2"/>
  <c r="Q327" i="2"/>
  <c r="R327" i="2"/>
  <c r="S327" i="2"/>
  <c r="T327" i="2"/>
  <c r="U327" i="2"/>
  <c r="U330" i="2"/>
  <c r="U376" i="2"/>
  <c r="V327" i="2"/>
  <c r="W327" i="2"/>
  <c r="X327" i="2"/>
  <c r="X330" i="2"/>
  <c r="X376" i="2"/>
  <c r="Y327" i="2"/>
  <c r="Z327" i="2"/>
  <c r="AA327" i="2"/>
  <c r="AB327" i="2"/>
  <c r="AB330" i="2"/>
  <c r="AB376" i="2"/>
  <c r="AC327" i="2"/>
  <c r="AD327" i="2"/>
  <c r="AD330" i="2"/>
  <c r="AD376" i="2"/>
  <c r="AE327" i="2"/>
  <c r="AF327" i="2"/>
  <c r="AG327" i="2"/>
  <c r="AH327" i="2"/>
  <c r="AI327" i="2"/>
  <c r="AJ327" i="2"/>
  <c r="B328" i="2"/>
  <c r="B330" i="2"/>
  <c r="C328" i="2"/>
  <c r="D328" i="2"/>
  <c r="D330" i="2"/>
  <c r="E328" i="2"/>
  <c r="F328" i="2"/>
  <c r="G328" i="2"/>
  <c r="H328" i="2"/>
  <c r="I328" i="2"/>
  <c r="J328" i="2"/>
  <c r="J330" i="2"/>
  <c r="J376" i="2"/>
  <c r="K328" i="2"/>
  <c r="L328" i="2"/>
  <c r="M328" i="2"/>
  <c r="N328" i="2"/>
  <c r="N330" i="2"/>
  <c r="N376" i="2"/>
  <c r="O328" i="2"/>
  <c r="P328" i="2"/>
  <c r="P330" i="2"/>
  <c r="P376" i="2"/>
  <c r="Q328" i="2"/>
  <c r="R328" i="2"/>
  <c r="R330" i="2"/>
  <c r="R376" i="2"/>
  <c r="S328" i="2"/>
  <c r="T328" i="2"/>
  <c r="U328" i="2"/>
  <c r="V328" i="2"/>
  <c r="V330" i="2"/>
  <c r="V376" i="2"/>
  <c r="W328" i="2"/>
  <c r="X328" i="2"/>
  <c r="Y328" i="2"/>
  <c r="Z328" i="2"/>
  <c r="AA328" i="2"/>
  <c r="AB328" i="2"/>
  <c r="AC328" i="2"/>
  <c r="AD328" i="2"/>
  <c r="AE328" i="2"/>
  <c r="AF328" i="2"/>
  <c r="AF330" i="2"/>
  <c r="AF376" i="2"/>
  <c r="AG328" i="2"/>
  <c r="AH328" i="2"/>
  <c r="AH330" i="2"/>
  <c r="AI328" i="2"/>
  <c r="AI330" i="2"/>
  <c r="AJ328" i="2"/>
  <c r="B329" i="2"/>
  <c r="C329" i="2"/>
  <c r="D329" i="2"/>
  <c r="E329" i="2"/>
  <c r="F329" i="2"/>
  <c r="G329" i="2"/>
  <c r="H329" i="2"/>
  <c r="I329" i="2"/>
  <c r="J329" i="2"/>
  <c r="K329" i="2"/>
  <c r="L329" i="2"/>
  <c r="L330" i="2"/>
  <c r="L376" i="2"/>
  <c r="M329" i="2"/>
  <c r="N329" i="2"/>
  <c r="O329" i="2"/>
  <c r="P329" i="2"/>
  <c r="Q329" i="2"/>
  <c r="Q330" i="2"/>
  <c r="Q376" i="2"/>
  <c r="R329" i="2"/>
  <c r="S329" i="2"/>
  <c r="T329" i="2"/>
  <c r="U329" i="2"/>
  <c r="V329" i="2"/>
  <c r="W329" i="2"/>
  <c r="X329" i="2"/>
  <c r="Y329" i="2"/>
  <c r="Z329" i="2"/>
  <c r="AA329" i="2"/>
  <c r="AB329" i="2"/>
  <c r="AC329" i="2"/>
  <c r="AD329" i="2"/>
  <c r="AE329" i="2"/>
  <c r="AF329" i="2"/>
  <c r="AG329" i="2"/>
  <c r="AH329" i="2"/>
  <c r="AI329" i="2"/>
  <c r="AJ329" i="2"/>
  <c r="B332" i="2"/>
  <c r="B335" i="2"/>
  <c r="C332" i="2"/>
  <c r="D332" i="2"/>
  <c r="E332" i="2"/>
  <c r="E335" i="2"/>
  <c r="F332" i="2"/>
  <c r="F335" i="2"/>
  <c r="G332" i="2"/>
  <c r="G335" i="2"/>
  <c r="H332" i="2"/>
  <c r="H335" i="2"/>
  <c r="I332" i="2"/>
  <c r="J332" i="2"/>
  <c r="K332" i="2"/>
  <c r="K335" i="2"/>
  <c r="L332" i="2"/>
  <c r="M332" i="2"/>
  <c r="M335" i="2"/>
  <c r="N332" i="2"/>
  <c r="O332" i="2"/>
  <c r="O335" i="2"/>
  <c r="P332" i="2"/>
  <c r="Q332" i="2"/>
  <c r="R332" i="2"/>
  <c r="S332" i="2"/>
  <c r="S335" i="2"/>
  <c r="T332" i="2"/>
  <c r="T335" i="2"/>
  <c r="U332" i="2"/>
  <c r="V332" i="2"/>
  <c r="V335" i="2"/>
  <c r="W332" i="2"/>
  <c r="W335" i="2"/>
  <c r="X332" i="2"/>
  <c r="Y332" i="2"/>
  <c r="Z332" i="2"/>
  <c r="Z335" i="2"/>
  <c r="AA332" i="2"/>
  <c r="AA335" i="2"/>
  <c r="AB332" i="2"/>
  <c r="AB335" i="2"/>
  <c r="AC332" i="2"/>
  <c r="AD332" i="2"/>
  <c r="AD335" i="2"/>
  <c r="AE332" i="2"/>
  <c r="AE335" i="2"/>
  <c r="AF332" i="2"/>
  <c r="AF335" i="2"/>
  <c r="AG332" i="2"/>
  <c r="AG335" i="2"/>
  <c r="AH332" i="2"/>
  <c r="AI332" i="2"/>
  <c r="AJ332" i="2"/>
  <c r="B333" i="2"/>
  <c r="C333" i="2"/>
  <c r="D333" i="2"/>
  <c r="E333" i="2"/>
  <c r="F333" i="2"/>
  <c r="G333" i="2"/>
  <c r="H333" i="2"/>
  <c r="I333" i="2"/>
  <c r="I335" i="2"/>
  <c r="J333" i="2"/>
  <c r="J335" i="2"/>
  <c r="K333" i="2"/>
  <c r="L333" i="2"/>
  <c r="L335" i="2"/>
  <c r="M333" i="2"/>
  <c r="N333" i="2"/>
  <c r="O333" i="2"/>
  <c r="P333" i="2"/>
  <c r="Q333" i="2"/>
  <c r="R333" i="2"/>
  <c r="S333" i="2"/>
  <c r="T333" i="2"/>
  <c r="U333" i="2"/>
  <c r="U335" i="2"/>
  <c r="V333" i="2"/>
  <c r="W333" i="2"/>
  <c r="X333" i="2"/>
  <c r="Y333" i="2"/>
  <c r="Z333" i="2"/>
  <c r="AA333" i="2"/>
  <c r="AB333" i="2"/>
  <c r="AC333" i="2"/>
  <c r="AD333" i="2"/>
  <c r="AE333" i="2"/>
  <c r="AF333" i="2"/>
  <c r="AG333" i="2"/>
  <c r="AH333" i="2"/>
  <c r="AH335" i="2"/>
  <c r="AI333" i="2"/>
  <c r="AI335" i="2"/>
  <c r="AJ333" i="2"/>
  <c r="B334" i="2"/>
  <c r="C334" i="2"/>
  <c r="D334" i="2"/>
  <c r="E334" i="2"/>
  <c r="F334" i="2"/>
  <c r="G334" i="2"/>
  <c r="H334" i="2"/>
  <c r="I334" i="2"/>
  <c r="J334" i="2"/>
  <c r="K334" i="2"/>
  <c r="L334" i="2"/>
  <c r="M334" i="2"/>
  <c r="N334" i="2"/>
  <c r="O334" i="2"/>
  <c r="P334" i="2"/>
  <c r="Q334" i="2"/>
  <c r="R334" i="2"/>
  <c r="S334" i="2"/>
  <c r="T334" i="2"/>
  <c r="U334" i="2"/>
  <c r="V334" i="2"/>
  <c r="W334" i="2"/>
  <c r="X334" i="2"/>
  <c r="Y334" i="2"/>
  <c r="Z334" i="2"/>
  <c r="AA334" i="2"/>
  <c r="AB334" i="2"/>
  <c r="AC334" i="2"/>
  <c r="AD334" i="2"/>
  <c r="AE334" i="2"/>
  <c r="AF334" i="2"/>
  <c r="AG334" i="2"/>
  <c r="AH334" i="2"/>
  <c r="AI334" i="2"/>
  <c r="AJ334" i="2"/>
  <c r="B337" i="2"/>
  <c r="C337" i="2"/>
  <c r="C340" i="2"/>
  <c r="D337" i="2"/>
  <c r="E337" i="2"/>
  <c r="F337" i="2"/>
  <c r="G337" i="2"/>
  <c r="G340" i="2"/>
  <c r="H337" i="2"/>
  <c r="I337" i="2"/>
  <c r="J337" i="2"/>
  <c r="K337" i="2"/>
  <c r="L337" i="2"/>
  <c r="M337" i="2"/>
  <c r="N337" i="2"/>
  <c r="O337" i="2"/>
  <c r="P337" i="2"/>
  <c r="Q337" i="2"/>
  <c r="R337" i="2"/>
  <c r="S337" i="2"/>
  <c r="S340" i="2"/>
  <c r="T337" i="2"/>
  <c r="U337" i="2"/>
  <c r="V337" i="2"/>
  <c r="W337" i="2"/>
  <c r="W340" i="2"/>
  <c r="X337" i="2"/>
  <c r="Y337" i="2"/>
  <c r="Z337" i="2"/>
  <c r="AA337" i="2"/>
  <c r="AB337" i="2"/>
  <c r="AC337" i="2"/>
  <c r="AD337" i="2"/>
  <c r="AE337" i="2"/>
  <c r="AF337" i="2"/>
  <c r="AG337" i="2"/>
  <c r="AH337" i="2"/>
  <c r="AI337" i="2"/>
  <c r="AI340" i="2"/>
  <c r="AJ337" i="2"/>
  <c r="B338" i="2"/>
  <c r="C338" i="2"/>
  <c r="D338" i="2"/>
  <c r="E338" i="2"/>
  <c r="F338" i="2"/>
  <c r="G338" i="2"/>
  <c r="H338" i="2"/>
  <c r="I338" i="2"/>
  <c r="J338" i="2"/>
  <c r="K338" i="2"/>
  <c r="L338" i="2"/>
  <c r="M338" i="2"/>
  <c r="N338" i="2"/>
  <c r="O338" i="2"/>
  <c r="P338" i="2"/>
  <c r="Q338" i="2"/>
  <c r="R338" i="2"/>
  <c r="S338" i="2"/>
  <c r="T338" i="2"/>
  <c r="U338" i="2"/>
  <c r="V338" i="2"/>
  <c r="W338" i="2"/>
  <c r="X338" i="2"/>
  <c r="X340" i="2"/>
  <c r="Y338" i="2"/>
  <c r="Z338" i="2"/>
  <c r="AA338" i="2"/>
  <c r="AB338" i="2"/>
  <c r="AB340" i="2"/>
  <c r="AC338" i="2"/>
  <c r="AC340" i="2"/>
  <c r="AD338" i="2"/>
  <c r="AE338" i="2"/>
  <c r="AE340" i="2"/>
  <c r="AF338" i="2"/>
  <c r="AG338" i="2"/>
  <c r="AH338" i="2"/>
  <c r="AI338" i="2"/>
  <c r="AJ338" i="2"/>
  <c r="B339" i="2"/>
  <c r="C339" i="2"/>
  <c r="D339" i="2"/>
  <c r="E339" i="2"/>
  <c r="F339" i="2"/>
  <c r="G339" i="2"/>
  <c r="H339" i="2"/>
  <c r="I339" i="2"/>
  <c r="J339" i="2"/>
  <c r="K339" i="2"/>
  <c r="L339" i="2"/>
  <c r="M339" i="2"/>
  <c r="N339" i="2"/>
  <c r="O339" i="2"/>
  <c r="P339" i="2"/>
  <c r="Q339" i="2"/>
  <c r="R339" i="2"/>
  <c r="R340" i="2"/>
  <c r="S339" i="2"/>
  <c r="T339" i="2"/>
  <c r="U339" i="2"/>
  <c r="V339" i="2"/>
  <c r="W339" i="2"/>
  <c r="X339" i="2"/>
  <c r="Y339" i="2"/>
  <c r="Z339" i="2"/>
  <c r="Z340" i="2"/>
  <c r="AA339" i="2"/>
  <c r="AB339" i="2"/>
  <c r="AC339" i="2"/>
  <c r="AD339" i="2"/>
  <c r="AE339" i="2"/>
  <c r="AF339" i="2"/>
  <c r="AF340" i="2"/>
  <c r="AG339" i="2"/>
  <c r="AH339" i="2"/>
  <c r="AI339" i="2"/>
  <c r="AJ339" i="2"/>
  <c r="B342" i="2"/>
  <c r="B345" i="2"/>
  <c r="C342" i="2"/>
  <c r="D342" i="2"/>
  <c r="E342" i="2"/>
  <c r="F342" i="2"/>
  <c r="G342" i="2"/>
  <c r="H342" i="2"/>
  <c r="I342" i="2"/>
  <c r="J342" i="2"/>
  <c r="J345" i="2"/>
  <c r="K342" i="2"/>
  <c r="K345" i="2"/>
  <c r="L342" i="2"/>
  <c r="M342" i="2"/>
  <c r="N342" i="2"/>
  <c r="N345" i="2"/>
  <c r="O342" i="2"/>
  <c r="P342" i="2"/>
  <c r="Q342" i="2"/>
  <c r="R342" i="2"/>
  <c r="R345" i="2"/>
  <c r="S342" i="2"/>
  <c r="T342" i="2"/>
  <c r="U342" i="2"/>
  <c r="V342" i="2"/>
  <c r="V345" i="2"/>
  <c r="W342" i="2"/>
  <c r="X342" i="2"/>
  <c r="Y342" i="2"/>
  <c r="Z342" i="2"/>
  <c r="AA342" i="2"/>
  <c r="AB342" i="2"/>
  <c r="AC342" i="2"/>
  <c r="AD342" i="2"/>
  <c r="AE342" i="2"/>
  <c r="AF342" i="2"/>
  <c r="AG342" i="2"/>
  <c r="AH342" i="2"/>
  <c r="AI342" i="2"/>
  <c r="AJ342" i="2"/>
  <c r="B343" i="2"/>
  <c r="C343" i="2"/>
  <c r="D343" i="2"/>
  <c r="E343" i="2"/>
  <c r="F343" i="2"/>
  <c r="G343" i="2"/>
  <c r="H343" i="2"/>
  <c r="I343" i="2"/>
  <c r="J343" i="2"/>
  <c r="K343" i="2"/>
  <c r="L343" i="2"/>
  <c r="M343" i="2"/>
  <c r="N343" i="2"/>
  <c r="O343" i="2"/>
  <c r="P343" i="2"/>
  <c r="Q343" i="2"/>
  <c r="R343" i="2"/>
  <c r="S343" i="2"/>
  <c r="T343" i="2"/>
  <c r="U343" i="2"/>
  <c r="V343" i="2"/>
  <c r="W343" i="2"/>
  <c r="X343" i="2"/>
  <c r="Y343" i="2"/>
  <c r="Z343" i="2"/>
  <c r="Z345" i="2"/>
  <c r="AA343" i="2"/>
  <c r="AB343" i="2"/>
  <c r="AC343" i="2"/>
  <c r="AD343" i="2"/>
  <c r="AE343" i="2"/>
  <c r="AF343" i="2"/>
  <c r="AG343" i="2"/>
  <c r="AH343" i="2"/>
  <c r="AH345" i="2"/>
  <c r="AI343" i="2"/>
  <c r="AJ343" i="2"/>
  <c r="B344" i="2"/>
  <c r="C344" i="2"/>
  <c r="D344" i="2"/>
  <c r="E344" i="2"/>
  <c r="F344" i="2"/>
  <c r="G344" i="2"/>
  <c r="H344" i="2"/>
  <c r="I344" i="2"/>
  <c r="J344" i="2"/>
  <c r="K344" i="2"/>
  <c r="L344" i="2"/>
  <c r="M344" i="2"/>
  <c r="N344" i="2"/>
  <c r="O344" i="2"/>
  <c r="P344" i="2"/>
  <c r="Q344" i="2"/>
  <c r="S344" i="2"/>
  <c r="T344" i="2"/>
  <c r="U344" i="2"/>
  <c r="U345" i="2"/>
  <c r="V344" i="2"/>
  <c r="W344" i="2"/>
  <c r="X344" i="2"/>
  <c r="Y344" i="2"/>
  <c r="Z344" i="2"/>
  <c r="AA344" i="2"/>
  <c r="AB344" i="2"/>
  <c r="AB345" i="2"/>
  <c r="AC344" i="2"/>
  <c r="AD344" i="2"/>
  <c r="AE344" i="2"/>
  <c r="AF344" i="2"/>
  <c r="AG344" i="2"/>
  <c r="AG345" i="2"/>
  <c r="AH344" i="2"/>
  <c r="AI344" i="2"/>
  <c r="AJ344" i="2"/>
  <c r="B347" i="2"/>
  <c r="C347" i="2"/>
  <c r="D347" i="2"/>
  <c r="D350" i="2"/>
  <c r="E347" i="2"/>
  <c r="F347" i="2"/>
  <c r="F350" i="2"/>
  <c r="G347" i="2"/>
  <c r="H347" i="2"/>
  <c r="I347" i="2"/>
  <c r="J347" i="2"/>
  <c r="K347" i="2"/>
  <c r="L347" i="2"/>
  <c r="M347" i="2"/>
  <c r="N347" i="2"/>
  <c r="O347" i="2"/>
  <c r="O350" i="2"/>
  <c r="P347" i="2"/>
  <c r="Q347" i="2"/>
  <c r="R347" i="2"/>
  <c r="S347" i="2"/>
  <c r="T347" i="2"/>
  <c r="U347" i="2"/>
  <c r="V347" i="2"/>
  <c r="W347" i="2"/>
  <c r="X347" i="2"/>
  <c r="Y347" i="2"/>
  <c r="Y350" i="2"/>
  <c r="Z347" i="2"/>
  <c r="AA347" i="2"/>
  <c r="AA350" i="2"/>
  <c r="AB347" i="2"/>
  <c r="AC347" i="2"/>
  <c r="AD347" i="2"/>
  <c r="AD350" i="2"/>
  <c r="AE347" i="2"/>
  <c r="AE350" i="2"/>
  <c r="AF347" i="2"/>
  <c r="AG347" i="2"/>
  <c r="AH347" i="2"/>
  <c r="AI347" i="2"/>
  <c r="AI350" i="2"/>
  <c r="AJ347" i="2"/>
  <c r="AK347" i="2"/>
  <c r="B348" i="2"/>
  <c r="C348" i="2"/>
  <c r="C350" i="2"/>
  <c r="D348" i="2"/>
  <c r="E348" i="2"/>
  <c r="F348" i="2"/>
  <c r="G348" i="2"/>
  <c r="H348" i="2"/>
  <c r="I348" i="2"/>
  <c r="J348" i="2"/>
  <c r="J350" i="2"/>
  <c r="K348" i="2"/>
  <c r="L348" i="2"/>
  <c r="M348" i="2"/>
  <c r="N348" i="2"/>
  <c r="O348" i="2"/>
  <c r="P348" i="2"/>
  <c r="Q348" i="2"/>
  <c r="Q350" i="2"/>
  <c r="R348" i="2"/>
  <c r="S348" i="2"/>
  <c r="T348" i="2"/>
  <c r="U348" i="2"/>
  <c r="V348" i="2"/>
  <c r="W348" i="2"/>
  <c r="X348" i="2"/>
  <c r="Y348" i="2"/>
  <c r="Z348" i="2"/>
  <c r="AA348" i="2"/>
  <c r="AB348" i="2"/>
  <c r="AC348" i="2"/>
  <c r="AC350" i="2"/>
  <c r="AD348" i="2"/>
  <c r="AE348" i="2"/>
  <c r="AF348" i="2"/>
  <c r="AG348" i="2"/>
  <c r="AH348" i="2"/>
  <c r="AH350" i="2"/>
  <c r="AI348" i="2"/>
  <c r="AJ348" i="2"/>
  <c r="B349" i="2"/>
  <c r="C349" i="2"/>
  <c r="D349" i="2"/>
  <c r="E349" i="2"/>
  <c r="F349" i="2"/>
  <c r="G349" i="2"/>
  <c r="H349" i="2"/>
  <c r="I349" i="2"/>
  <c r="J349" i="2"/>
  <c r="K349" i="2"/>
  <c r="L349" i="2"/>
  <c r="M349" i="2"/>
  <c r="N349" i="2"/>
  <c r="O349" i="2"/>
  <c r="P349" i="2"/>
  <c r="P350" i="2"/>
  <c r="Q349" i="2"/>
  <c r="R349" i="2"/>
  <c r="S349" i="2"/>
  <c r="T349" i="2"/>
  <c r="U349" i="2"/>
  <c r="V349" i="2"/>
  <c r="W349" i="2"/>
  <c r="X349" i="2"/>
  <c r="X350" i="2"/>
  <c r="Y349" i="2"/>
  <c r="Z349" i="2"/>
  <c r="AA349" i="2"/>
  <c r="AB349" i="2"/>
  <c r="AB350" i="2"/>
  <c r="AC349" i="2"/>
  <c r="AD349" i="2"/>
  <c r="AE349" i="2"/>
  <c r="AF349" i="2"/>
  <c r="AG349" i="2"/>
  <c r="AH349" i="2"/>
  <c r="AI349" i="2"/>
  <c r="AJ349" i="2"/>
  <c r="B352" i="2"/>
  <c r="C352" i="2"/>
  <c r="D352" i="2"/>
  <c r="E352" i="2"/>
  <c r="E355" i="2"/>
  <c r="F352" i="2"/>
  <c r="G352" i="2"/>
  <c r="H352" i="2"/>
  <c r="H355" i="2"/>
  <c r="I352" i="2"/>
  <c r="J352" i="2"/>
  <c r="K352" i="2"/>
  <c r="L352" i="2"/>
  <c r="L355" i="2"/>
  <c r="M352" i="2"/>
  <c r="N352" i="2"/>
  <c r="O352" i="2"/>
  <c r="O355" i="2"/>
  <c r="P352" i="2"/>
  <c r="Q352" i="2"/>
  <c r="R352" i="2"/>
  <c r="S352" i="2"/>
  <c r="T352" i="2"/>
  <c r="U352" i="2"/>
  <c r="V352" i="2"/>
  <c r="V355" i="2"/>
  <c r="W352" i="2"/>
  <c r="X352" i="2"/>
  <c r="Y352" i="2"/>
  <c r="Z352" i="2"/>
  <c r="AA352" i="2"/>
  <c r="AB352" i="2"/>
  <c r="AC352" i="2"/>
  <c r="AD352" i="2"/>
  <c r="AE352" i="2"/>
  <c r="AE355" i="2"/>
  <c r="AF352" i="2"/>
  <c r="AG352" i="2"/>
  <c r="AH352" i="2"/>
  <c r="AI352" i="2"/>
  <c r="AJ352" i="2"/>
  <c r="AK352" i="2"/>
  <c r="B353" i="2"/>
  <c r="C353" i="2"/>
  <c r="D353" i="2"/>
  <c r="E353" i="2"/>
  <c r="F353" i="2"/>
  <c r="G353" i="2"/>
  <c r="H353" i="2"/>
  <c r="I353" i="2"/>
  <c r="I355" i="2"/>
  <c r="J353" i="2"/>
  <c r="K353" i="2"/>
  <c r="L353" i="2"/>
  <c r="M353" i="2"/>
  <c r="M355" i="2"/>
  <c r="N353" i="2"/>
  <c r="N355" i="2"/>
  <c r="O353" i="2"/>
  <c r="P353" i="2"/>
  <c r="Q353" i="2"/>
  <c r="R353" i="2"/>
  <c r="S353" i="2"/>
  <c r="T353" i="2"/>
  <c r="U353" i="2"/>
  <c r="V353" i="2"/>
  <c r="W353" i="2"/>
  <c r="W355" i="2"/>
  <c r="X353" i="2"/>
  <c r="X355" i="2"/>
  <c r="Y353" i="2"/>
  <c r="Z353" i="2"/>
  <c r="Z355" i="2"/>
  <c r="AA353" i="2"/>
  <c r="AB353" i="2"/>
  <c r="AC353" i="2"/>
  <c r="AD353" i="2"/>
  <c r="AD355" i="2"/>
  <c r="AE353" i="2"/>
  <c r="AF353" i="2"/>
  <c r="AF355" i="2"/>
  <c r="AG353" i="2"/>
  <c r="AH353" i="2"/>
  <c r="AI353" i="2"/>
  <c r="AJ353" i="2"/>
  <c r="AJ355" i="2"/>
  <c r="B354" i="2"/>
  <c r="C354" i="2"/>
  <c r="D354" i="2"/>
  <c r="E354" i="2"/>
  <c r="F354" i="2"/>
  <c r="F355" i="2"/>
  <c r="G354" i="2"/>
  <c r="H354" i="2"/>
  <c r="I354" i="2"/>
  <c r="J354" i="2"/>
  <c r="K354" i="2"/>
  <c r="K355" i="2"/>
  <c r="L354" i="2"/>
  <c r="M354" i="2"/>
  <c r="N354" i="2"/>
  <c r="O354" i="2"/>
  <c r="P354" i="2"/>
  <c r="P355" i="2"/>
  <c r="Q354" i="2"/>
  <c r="R354" i="2"/>
  <c r="S354" i="2"/>
  <c r="T354" i="2"/>
  <c r="U354" i="2"/>
  <c r="V354" i="2"/>
  <c r="W354" i="2"/>
  <c r="X354" i="2"/>
  <c r="Y354" i="2"/>
  <c r="Z354" i="2"/>
  <c r="AA354" i="2"/>
  <c r="AB354" i="2"/>
  <c r="AC354" i="2"/>
  <c r="AC355" i="2"/>
  <c r="AD354" i="2"/>
  <c r="AE354" i="2"/>
  <c r="AF354" i="2"/>
  <c r="AG354" i="2"/>
  <c r="AH354" i="2"/>
  <c r="AI354" i="2"/>
  <c r="AJ354" i="2"/>
  <c r="B357" i="2"/>
  <c r="C357" i="2"/>
  <c r="D357" i="2"/>
  <c r="E357" i="2"/>
  <c r="E360" i="2"/>
  <c r="F357" i="2"/>
  <c r="G357" i="2"/>
  <c r="H357" i="2"/>
  <c r="I357" i="2"/>
  <c r="J357" i="2"/>
  <c r="J360" i="2"/>
  <c r="K357" i="2"/>
  <c r="L357" i="2"/>
  <c r="M357" i="2"/>
  <c r="N357" i="2"/>
  <c r="O357" i="2"/>
  <c r="P357" i="2"/>
  <c r="Q357" i="2"/>
  <c r="R357" i="2"/>
  <c r="S357" i="2"/>
  <c r="T357" i="2"/>
  <c r="U357" i="2"/>
  <c r="V357" i="2"/>
  <c r="W357" i="2"/>
  <c r="X357" i="2"/>
  <c r="Y357" i="2"/>
  <c r="Z357" i="2"/>
  <c r="AA357" i="2"/>
  <c r="AB357" i="2"/>
  <c r="AC357" i="2"/>
  <c r="AD357" i="2"/>
  <c r="AE357" i="2"/>
  <c r="AF357" i="2"/>
  <c r="AG357" i="2"/>
  <c r="AH357" i="2"/>
  <c r="AI357" i="2"/>
  <c r="AJ357" i="2"/>
  <c r="B358" i="2"/>
  <c r="C358" i="2"/>
  <c r="D358" i="2"/>
  <c r="E358" i="2"/>
  <c r="F358" i="2"/>
  <c r="G358" i="2"/>
  <c r="H358" i="2"/>
  <c r="H360" i="2"/>
  <c r="I358" i="2"/>
  <c r="J358" i="2"/>
  <c r="K358" i="2"/>
  <c r="K360" i="2"/>
  <c r="L358" i="2"/>
  <c r="M358" i="2"/>
  <c r="N358" i="2"/>
  <c r="O358" i="2"/>
  <c r="O360" i="2"/>
  <c r="P358" i="2"/>
  <c r="Q358" i="2"/>
  <c r="R358" i="2"/>
  <c r="S358" i="2"/>
  <c r="T358" i="2"/>
  <c r="U358" i="2"/>
  <c r="V358" i="2"/>
  <c r="W358" i="2"/>
  <c r="X358" i="2"/>
  <c r="Y358" i="2"/>
  <c r="Z358" i="2"/>
  <c r="AA358" i="2"/>
  <c r="AA360" i="2"/>
  <c r="AB358" i="2"/>
  <c r="AC358" i="2"/>
  <c r="AD358" i="2"/>
  <c r="AE358" i="2"/>
  <c r="AF358" i="2"/>
  <c r="AG358" i="2"/>
  <c r="AH358" i="2"/>
  <c r="AI358" i="2"/>
  <c r="AJ358" i="2"/>
  <c r="AK358" i="2"/>
  <c r="B359" i="2"/>
  <c r="C359" i="2"/>
  <c r="D359" i="2"/>
  <c r="E359" i="2"/>
  <c r="F359" i="2"/>
  <c r="G359" i="2"/>
  <c r="H359" i="2"/>
  <c r="I359" i="2"/>
  <c r="J359" i="2"/>
  <c r="K359" i="2"/>
  <c r="L359" i="2"/>
  <c r="M359" i="2"/>
  <c r="N359" i="2"/>
  <c r="N360" i="2"/>
  <c r="O359" i="2"/>
  <c r="P359" i="2"/>
  <c r="P360" i="2"/>
  <c r="Q359" i="2"/>
  <c r="R359" i="2"/>
  <c r="S359" i="2"/>
  <c r="T359" i="2"/>
  <c r="U359" i="2"/>
  <c r="U360" i="2"/>
  <c r="V359" i="2"/>
  <c r="W359" i="2"/>
  <c r="X359" i="2"/>
  <c r="Y359" i="2"/>
  <c r="Y360" i="2"/>
  <c r="Z359" i="2"/>
  <c r="AA359" i="2"/>
  <c r="AB359" i="2"/>
  <c r="AB360" i="2"/>
  <c r="AC359" i="2"/>
  <c r="AD359" i="2"/>
  <c r="AE359" i="2"/>
  <c r="AF359" i="2"/>
  <c r="AG359" i="2"/>
  <c r="AG360" i="2"/>
  <c r="AH359" i="2"/>
  <c r="AI359" i="2"/>
  <c r="AI360" i="2"/>
  <c r="AJ359" i="2"/>
  <c r="B362" i="2"/>
  <c r="C362" i="2"/>
  <c r="D362" i="2"/>
  <c r="E362" i="2"/>
  <c r="F362" i="2"/>
  <c r="F365" i="2"/>
  <c r="G362" i="2"/>
  <c r="H362" i="2"/>
  <c r="I362" i="2"/>
  <c r="J362" i="2"/>
  <c r="K362" i="2"/>
  <c r="L362" i="2"/>
  <c r="M362" i="2"/>
  <c r="N362" i="2"/>
  <c r="O362" i="2"/>
  <c r="P362" i="2"/>
  <c r="Q362" i="2"/>
  <c r="R362" i="2"/>
  <c r="R365" i="2"/>
  <c r="S362" i="2"/>
  <c r="T362" i="2"/>
  <c r="U362" i="2"/>
  <c r="U365" i="2"/>
  <c r="V362" i="2"/>
  <c r="W362" i="2"/>
  <c r="X362" i="2"/>
  <c r="X365" i="2"/>
  <c r="Y362" i="2"/>
  <c r="Y365" i="2"/>
  <c r="Z362" i="2"/>
  <c r="AA362" i="2"/>
  <c r="AB362" i="2"/>
  <c r="AB365" i="2"/>
  <c r="AC362" i="2"/>
  <c r="AD362" i="2"/>
  <c r="AE362" i="2"/>
  <c r="AF362" i="2"/>
  <c r="AG362" i="2"/>
  <c r="AH362" i="2"/>
  <c r="AH365" i="2"/>
  <c r="AI362" i="2"/>
  <c r="AI365" i="2"/>
  <c r="AJ362" i="2"/>
  <c r="B363" i="2"/>
  <c r="C363" i="2"/>
  <c r="D363" i="2"/>
  <c r="D365" i="2"/>
  <c r="E363" i="2"/>
  <c r="F363" i="2"/>
  <c r="G363" i="2"/>
  <c r="H363" i="2"/>
  <c r="I363" i="2"/>
  <c r="J363" i="2"/>
  <c r="J365" i="2"/>
  <c r="K363" i="2"/>
  <c r="K365" i="2"/>
  <c r="L363" i="2"/>
  <c r="M363" i="2"/>
  <c r="M365" i="2"/>
  <c r="N363" i="2"/>
  <c r="O363" i="2"/>
  <c r="P363" i="2"/>
  <c r="Q363" i="2"/>
  <c r="R363" i="2"/>
  <c r="S363" i="2"/>
  <c r="T363" i="2"/>
  <c r="T365" i="2"/>
  <c r="U363" i="2"/>
  <c r="V363" i="2"/>
  <c r="W363" i="2"/>
  <c r="W365" i="2"/>
  <c r="X363" i="2"/>
  <c r="Y363" i="2"/>
  <c r="Z363" i="2"/>
  <c r="AA363" i="2"/>
  <c r="AB363" i="2"/>
  <c r="AC363" i="2"/>
  <c r="AD363" i="2"/>
  <c r="AE363" i="2"/>
  <c r="AF363" i="2"/>
  <c r="AF365" i="2"/>
  <c r="AG363" i="2"/>
  <c r="AH363" i="2"/>
  <c r="AI363" i="2"/>
  <c r="AJ363" i="2"/>
  <c r="AK363" i="2"/>
  <c r="B364" i="2"/>
  <c r="C364" i="2"/>
  <c r="D364" i="2"/>
  <c r="E364" i="2"/>
  <c r="F364" i="2"/>
  <c r="G364" i="2"/>
  <c r="G365" i="2"/>
  <c r="H364" i="2"/>
  <c r="I364" i="2"/>
  <c r="J364" i="2"/>
  <c r="K364" i="2"/>
  <c r="L364" i="2"/>
  <c r="L365" i="2"/>
  <c r="M364" i="2"/>
  <c r="N364" i="2"/>
  <c r="N365" i="2"/>
  <c r="O364" i="2"/>
  <c r="P364" i="2"/>
  <c r="Q364" i="2"/>
  <c r="R364" i="2"/>
  <c r="S364" i="2"/>
  <c r="T364" i="2"/>
  <c r="U364" i="2"/>
  <c r="V364" i="2"/>
  <c r="V365" i="2"/>
  <c r="W364" i="2"/>
  <c r="X364" i="2"/>
  <c r="Y364" i="2"/>
  <c r="Z364" i="2"/>
  <c r="AA364" i="2"/>
  <c r="AB364" i="2"/>
  <c r="AC364" i="2"/>
  <c r="AC365" i="2"/>
  <c r="AD364" i="2"/>
  <c r="AE364" i="2"/>
  <c r="AF364" i="2"/>
  <c r="AG364" i="2"/>
  <c r="AH364" i="2"/>
  <c r="AI364" i="2"/>
  <c r="AJ364" i="2"/>
  <c r="B367" i="2"/>
  <c r="B370" i="2"/>
  <c r="C367" i="2"/>
  <c r="C370" i="2"/>
  <c r="D367" i="2"/>
  <c r="E367" i="2"/>
  <c r="F367" i="2"/>
  <c r="F370" i="2"/>
  <c r="G367" i="2"/>
  <c r="H367" i="2"/>
  <c r="I367" i="2"/>
  <c r="J367" i="2"/>
  <c r="K367" i="2"/>
  <c r="L367" i="2"/>
  <c r="M367" i="2"/>
  <c r="N367" i="2"/>
  <c r="O367" i="2"/>
  <c r="P367" i="2"/>
  <c r="Q367" i="2"/>
  <c r="R367" i="2"/>
  <c r="S367" i="2"/>
  <c r="T367" i="2"/>
  <c r="U367" i="2"/>
  <c r="V367" i="2"/>
  <c r="W367" i="2"/>
  <c r="X367" i="2"/>
  <c r="Y367" i="2"/>
  <c r="Y370" i="2"/>
  <c r="Z367" i="2"/>
  <c r="AA367" i="2"/>
  <c r="AB367" i="2"/>
  <c r="AC367" i="2"/>
  <c r="AD367" i="2"/>
  <c r="AE367" i="2"/>
  <c r="AF367" i="2"/>
  <c r="AG367" i="2"/>
  <c r="AH367" i="2"/>
  <c r="AI367" i="2"/>
  <c r="AJ367" i="2"/>
  <c r="B368" i="2"/>
  <c r="C368" i="2"/>
  <c r="D368" i="2"/>
  <c r="E368" i="2"/>
  <c r="F368" i="2"/>
  <c r="G368" i="2"/>
  <c r="G370" i="2"/>
  <c r="H368" i="2"/>
  <c r="I368" i="2"/>
  <c r="I370" i="2"/>
  <c r="J368" i="2"/>
  <c r="K368" i="2"/>
  <c r="K370" i="2"/>
  <c r="L368" i="2"/>
  <c r="M368" i="2"/>
  <c r="N368" i="2"/>
  <c r="O368" i="2"/>
  <c r="P368" i="2"/>
  <c r="Q368" i="2"/>
  <c r="R368" i="2"/>
  <c r="S368" i="2"/>
  <c r="T368" i="2"/>
  <c r="U368" i="2"/>
  <c r="V368" i="2"/>
  <c r="V370" i="2"/>
  <c r="W368" i="2"/>
  <c r="X368" i="2"/>
  <c r="Y368" i="2"/>
  <c r="Z368" i="2"/>
  <c r="AA368" i="2"/>
  <c r="AB368" i="2"/>
  <c r="AC368" i="2"/>
  <c r="AD368" i="2"/>
  <c r="AE368" i="2"/>
  <c r="AF368" i="2"/>
  <c r="AG368" i="2"/>
  <c r="AH368" i="2"/>
  <c r="AH370" i="2"/>
  <c r="AI368" i="2"/>
  <c r="AJ368" i="2"/>
  <c r="AK368" i="2"/>
  <c r="B369" i="2"/>
  <c r="C369" i="2"/>
  <c r="D369" i="2"/>
  <c r="E369" i="2"/>
  <c r="F369" i="2"/>
  <c r="G369" i="2"/>
  <c r="H369" i="2"/>
  <c r="H370" i="2"/>
  <c r="I369" i="2"/>
  <c r="J369" i="2"/>
  <c r="K369" i="2"/>
  <c r="L369" i="2"/>
  <c r="M369" i="2"/>
  <c r="M370" i="2"/>
  <c r="N369" i="2"/>
  <c r="O369" i="2"/>
  <c r="O370" i="2"/>
  <c r="P369" i="2"/>
  <c r="Q369" i="2"/>
  <c r="R369" i="2"/>
  <c r="S369" i="2"/>
  <c r="T369" i="2"/>
  <c r="U369" i="2"/>
  <c r="V369" i="2"/>
  <c r="W369" i="2"/>
  <c r="X369" i="2"/>
  <c r="Y369" i="2"/>
  <c r="Z369" i="2"/>
  <c r="AA369" i="2"/>
  <c r="AB369" i="2"/>
  <c r="AC369" i="2"/>
  <c r="AD369" i="2"/>
  <c r="AE369" i="2"/>
  <c r="AE370" i="2"/>
  <c r="AF369" i="2"/>
  <c r="AG369" i="2"/>
  <c r="AH369" i="2"/>
  <c r="AI369" i="2"/>
  <c r="AJ369" i="2"/>
  <c r="B372" i="2"/>
  <c r="C372" i="2"/>
  <c r="D372" i="2"/>
  <c r="D375" i="2"/>
  <c r="E372" i="2"/>
  <c r="F372" i="2"/>
  <c r="G372" i="2"/>
  <c r="H372" i="2"/>
  <c r="I372" i="2"/>
  <c r="J372" i="2"/>
  <c r="J375" i="2"/>
  <c r="K372" i="2"/>
  <c r="L372" i="2"/>
  <c r="M372" i="2"/>
  <c r="N372" i="2"/>
  <c r="N375" i="2"/>
  <c r="O372" i="2"/>
  <c r="P372" i="2"/>
  <c r="Q372" i="2"/>
  <c r="Q375" i="2"/>
  <c r="R372" i="2"/>
  <c r="S372" i="2"/>
  <c r="T372" i="2"/>
  <c r="U372" i="2"/>
  <c r="U375" i="2"/>
  <c r="V372" i="2"/>
  <c r="W372" i="2"/>
  <c r="X372" i="2"/>
  <c r="Y372" i="2"/>
  <c r="Y375" i="2"/>
  <c r="Z372" i="2"/>
  <c r="Z375" i="2"/>
  <c r="AA372" i="2"/>
  <c r="AB372" i="2"/>
  <c r="AC372" i="2"/>
  <c r="AD372" i="2"/>
  <c r="AD375" i="2"/>
  <c r="AE372" i="2"/>
  <c r="AF372" i="2"/>
  <c r="AG372" i="2"/>
  <c r="AH372" i="2"/>
  <c r="AI372" i="2"/>
  <c r="AJ372" i="2"/>
  <c r="B373" i="2"/>
  <c r="C373" i="2"/>
  <c r="D373" i="2"/>
  <c r="E373" i="2"/>
  <c r="F373" i="2"/>
  <c r="G373" i="2"/>
  <c r="H373" i="2"/>
  <c r="I373" i="2"/>
  <c r="J373" i="2"/>
  <c r="K373" i="2"/>
  <c r="L373" i="2"/>
  <c r="M373" i="2"/>
  <c r="N373" i="2"/>
  <c r="O373" i="2"/>
  <c r="P373" i="2"/>
  <c r="Q373" i="2"/>
  <c r="R373" i="2"/>
  <c r="S373" i="2"/>
  <c r="T373" i="2"/>
  <c r="T375" i="2"/>
  <c r="U373" i="2"/>
  <c r="V373" i="2"/>
  <c r="W373" i="2"/>
  <c r="X373" i="2"/>
  <c r="Y373" i="2"/>
  <c r="Z373" i="2"/>
  <c r="AA373" i="2"/>
  <c r="AB373" i="2"/>
  <c r="AC373" i="2"/>
  <c r="AD373" i="2"/>
  <c r="AE373" i="2"/>
  <c r="AF373" i="2"/>
  <c r="AG373" i="2"/>
  <c r="AH373" i="2"/>
  <c r="AI373" i="2"/>
  <c r="AJ373" i="2"/>
  <c r="B374" i="2"/>
  <c r="C374" i="2"/>
  <c r="D374" i="2"/>
  <c r="E374" i="2"/>
  <c r="E375" i="2"/>
  <c r="F374" i="2"/>
  <c r="G374" i="2"/>
  <c r="H374" i="2"/>
  <c r="I374" i="2"/>
  <c r="J374" i="2"/>
  <c r="K374" i="2"/>
  <c r="L374" i="2"/>
  <c r="M374" i="2"/>
  <c r="N374" i="2"/>
  <c r="O374" i="2"/>
  <c r="P374" i="2"/>
  <c r="Q374" i="2"/>
  <c r="R374" i="2"/>
  <c r="S374" i="2"/>
  <c r="T374" i="2"/>
  <c r="U374" i="2"/>
  <c r="V374" i="2"/>
  <c r="W374" i="2"/>
  <c r="X374" i="2"/>
  <c r="Y374" i="2"/>
  <c r="Z374" i="2"/>
  <c r="AA374" i="2"/>
  <c r="AB374" i="2"/>
  <c r="AC374" i="2"/>
  <c r="AD374" i="2"/>
  <c r="AE374" i="2"/>
  <c r="AF374" i="2"/>
  <c r="AG374" i="2"/>
  <c r="AH374" i="2"/>
  <c r="AI374" i="2"/>
  <c r="AJ374" i="2"/>
  <c r="F73" i="2"/>
  <c r="D90" i="2"/>
  <c r="E183" i="2"/>
  <c r="E184" i="2"/>
  <c r="B183" i="2"/>
  <c r="B184" i="2"/>
  <c r="I153" i="5"/>
  <c r="C153" i="5"/>
  <c r="S20" i="1"/>
  <c r="W20" i="1"/>
  <c r="T20" i="1"/>
  <c r="R24" i="1"/>
  <c r="E316" i="1"/>
  <c r="C316" i="1"/>
  <c r="D183" i="2"/>
  <c r="D184" i="2"/>
  <c r="G176" i="2"/>
  <c r="G171" i="2"/>
  <c r="T370" i="2"/>
  <c r="F360" i="2"/>
  <c r="AC360" i="2"/>
  <c r="AK353" i="2"/>
  <c r="AC345" i="2"/>
  <c r="Y345" i="2"/>
  <c r="I345" i="2"/>
  <c r="E345" i="2"/>
  <c r="AK343" i="2"/>
  <c r="F164" i="2"/>
  <c r="F165" i="2"/>
  <c r="B164" i="2"/>
  <c r="B165" i="2"/>
  <c r="E145" i="2"/>
  <c r="E146" i="2"/>
  <c r="C145" i="2"/>
  <c r="C146" i="2"/>
  <c r="F126" i="2"/>
  <c r="F127" i="2"/>
  <c r="B126" i="2"/>
  <c r="B127" i="2"/>
  <c r="C126" i="2"/>
  <c r="C127" i="2"/>
  <c r="F76" i="2"/>
  <c r="F75" i="2"/>
  <c r="D314" i="1"/>
  <c r="G314" i="1"/>
  <c r="F74" i="2"/>
  <c r="F71" i="2"/>
  <c r="F69" i="2"/>
  <c r="F67" i="2"/>
  <c r="F70" i="2"/>
  <c r="F68" i="2"/>
  <c r="D84" i="2"/>
  <c r="C100" i="2"/>
  <c r="C97" i="2"/>
  <c r="B89" i="2"/>
  <c r="B84" i="2"/>
  <c r="C106" i="2"/>
  <c r="E85" i="2"/>
  <c r="C103" i="2"/>
  <c r="D106" i="2"/>
  <c r="D91" i="2"/>
  <c r="C105" i="2"/>
  <c r="C101" i="2"/>
  <c r="D89" i="2"/>
  <c r="D83" i="2"/>
  <c r="D47" i="2"/>
  <c r="C104" i="2"/>
  <c r="F36" i="2"/>
  <c r="J314" i="1"/>
  <c r="E91" i="2"/>
  <c r="D88" i="2"/>
  <c r="E86" i="2"/>
  <c r="E90" i="2"/>
  <c r="E87" i="2"/>
  <c r="E84" i="2"/>
  <c r="E83" i="2"/>
  <c r="D82" i="2"/>
  <c r="J316" i="1"/>
  <c r="J329" i="1"/>
  <c r="B88" i="2"/>
  <c r="B87" i="2"/>
  <c r="F13" i="2"/>
  <c r="AI320" i="2"/>
  <c r="C320" i="2"/>
  <c r="D193" i="1"/>
  <c r="G375" i="2"/>
  <c r="L350" i="2"/>
  <c r="H350" i="2"/>
  <c r="AJ345" i="2"/>
  <c r="AK362" i="2"/>
  <c r="AK337" i="2"/>
  <c r="AK277" i="2"/>
  <c r="AK318" i="2"/>
  <c r="I160" i="5"/>
  <c r="I161" i="5"/>
  <c r="N55" i="3"/>
  <c r="AE375" i="2"/>
  <c r="AC370" i="2"/>
  <c r="U370" i="2"/>
  <c r="P345" i="2"/>
  <c r="K375" i="2"/>
  <c r="W375" i="2"/>
  <c r="AG370" i="2"/>
  <c r="E370" i="2"/>
  <c r="AH355" i="2"/>
  <c r="B350" i="2"/>
  <c r="L345" i="2"/>
  <c r="AG340" i="2"/>
  <c r="E340" i="2"/>
  <c r="F330" i="2"/>
  <c r="AK218" i="2"/>
  <c r="T340" i="2"/>
  <c r="P340" i="2"/>
  <c r="L340" i="2"/>
  <c r="H340" i="2"/>
  <c r="D340" i="2"/>
  <c r="X335" i="2"/>
  <c r="P335" i="2"/>
  <c r="D335" i="2"/>
  <c r="N325" i="2"/>
  <c r="F325" i="2"/>
  <c r="G194" i="1"/>
  <c r="E61" i="5"/>
  <c r="C70" i="5"/>
  <c r="C71" i="5"/>
  <c r="J159" i="5"/>
  <c r="J161" i="5"/>
  <c r="G138" i="2"/>
  <c r="E80" i="5"/>
  <c r="C93" i="5"/>
  <c r="C94" i="5"/>
  <c r="D46" i="5"/>
  <c r="D145" i="2"/>
  <c r="D146" i="2"/>
  <c r="F5" i="2"/>
  <c r="AB74" i="1"/>
  <c r="AC74" i="1"/>
  <c r="C16" i="2"/>
  <c r="E164" i="2"/>
  <c r="E165" i="2"/>
  <c r="B85" i="2"/>
  <c r="E107" i="5"/>
  <c r="C184" i="5"/>
  <c r="I93" i="5"/>
  <c r="I94" i="5"/>
  <c r="J80" i="5"/>
  <c r="J93" i="5"/>
  <c r="I70" i="5"/>
  <c r="I71" i="5"/>
  <c r="J71" i="5"/>
  <c r="J61" i="5"/>
  <c r="E31" i="5"/>
  <c r="D34" i="5"/>
  <c r="O53" i="3"/>
  <c r="D47" i="3"/>
  <c r="O47" i="3"/>
  <c r="O45" i="3"/>
  <c r="D35" i="3"/>
  <c r="E147" i="5"/>
  <c r="H93" i="5"/>
  <c r="H94" i="5"/>
  <c r="E41" i="5"/>
  <c r="E15" i="5"/>
  <c r="C24" i="5"/>
  <c r="C25" i="5"/>
  <c r="E25" i="5"/>
  <c r="I11" i="5"/>
  <c r="J8" i="5"/>
  <c r="D43" i="3"/>
  <c r="O43" i="3"/>
  <c r="O41" i="3"/>
  <c r="O29" i="3"/>
  <c r="I38" i="5"/>
  <c r="J38" i="5"/>
  <c r="E34" i="5"/>
  <c r="E47" i="5"/>
  <c r="J11" i="5"/>
  <c r="L173" i="1"/>
  <c r="AK317" i="2"/>
  <c r="F233" i="1"/>
  <c r="AF375" i="2"/>
  <c r="O375" i="2"/>
  <c r="Q370" i="2"/>
  <c r="S370" i="2"/>
  <c r="Z365" i="2"/>
  <c r="AE360" i="2"/>
  <c r="L360" i="2"/>
  <c r="D360" i="2"/>
  <c r="C360" i="2"/>
  <c r="S355" i="2"/>
  <c r="AI355" i="2"/>
  <c r="T355" i="2"/>
  <c r="R355" i="2"/>
  <c r="W350" i="2"/>
  <c r="U350" i="2"/>
  <c r="M350" i="2"/>
  <c r="I350" i="2"/>
  <c r="E350" i="2"/>
  <c r="AF345" i="2"/>
  <c r="Q345" i="2"/>
  <c r="AI345" i="2"/>
  <c r="O345" i="2"/>
  <c r="M345" i="2"/>
  <c r="F345" i="2"/>
  <c r="D345" i="2"/>
  <c r="N340" i="2"/>
  <c r="I340" i="2"/>
  <c r="S330" i="2"/>
  <c r="S376" i="2"/>
  <c r="C330" i="2"/>
  <c r="AJ325" i="2"/>
  <c r="AF325" i="2"/>
  <c r="T325" i="2"/>
  <c r="P325" i="2"/>
  <c r="D325" i="2"/>
  <c r="E194" i="1"/>
  <c r="E214" i="1"/>
  <c r="I375" i="2"/>
  <c r="AJ370" i="2"/>
  <c r="AD370" i="2"/>
  <c r="AB370" i="2"/>
  <c r="N370" i="2"/>
  <c r="J370" i="2"/>
  <c r="AE365" i="2"/>
  <c r="AH360" i="2"/>
  <c r="W360" i="2"/>
  <c r="AA355" i="2"/>
  <c r="H345" i="2"/>
  <c r="V340" i="2"/>
  <c r="Q340" i="2"/>
  <c r="AJ335" i="2"/>
  <c r="R335" i="2"/>
  <c r="AE330" i="2"/>
  <c r="AE376" i="2"/>
  <c r="AF320" i="2"/>
  <c r="AK374" i="2"/>
  <c r="AK248" i="2"/>
  <c r="AK243" i="2"/>
  <c r="AK367" i="2"/>
  <c r="AK370" i="2"/>
  <c r="AK228" i="2"/>
  <c r="AK344" i="2"/>
  <c r="F145" i="2"/>
  <c r="F146" i="2"/>
  <c r="D180" i="5"/>
  <c r="J13" i="5"/>
  <c r="I15" i="5"/>
  <c r="J15" i="5"/>
  <c r="O57" i="3"/>
  <c r="D170" i="5"/>
  <c r="E170" i="5"/>
  <c r="E55" i="3"/>
  <c r="I148" i="5"/>
  <c r="J148" i="5"/>
  <c r="C55" i="3"/>
  <c r="O55" i="3"/>
  <c r="I146" i="5"/>
  <c r="J146" i="5"/>
  <c r="M51" i="3"/>
  <c r="D159" i="5"/>
  <c r="E159" i="5"/>
  <c r="O34" i="3"/>
  <c r="O27" i="3"/>
  <c r="O16" i="3"/>
  <c r="O17" i="3"/>
  <c r="N17" i="3"/>
  <c r="AK364" i="2"/>
  <c r="AK365" i="2"/>
  <c r="W320" i="2"/>
  <c r="D320" i="2"/>
  <c r="E193" i="1"/>
  <c r="AK312" i="2"/>
  <c r="AK282" i="2"/>
  <c r="AK359" i="2"/>
  <c r="G181" i="2"/>
  <c r="D164" i="2"/>
  <c r="D165" i="2"/>
  <c r="G152" i="2"/>
  <c r="G143" i="2"/>
  <c r="B90" i="2"/>
  <c r="F39" i="2"/>
  <c r="C99" i="2"/>
  <c r="C84" i="2"/>
  <c r="C172" i="5"/>
  <c r="C185" i="5"/>
  <c r="C186" i="5"/>
  <c r="E57" i="5"/>
  <c r="E70" i="5"/>
  <c r="D70" i="5"/>
  <c r="D71" i="5"/>
  <c r="E71" i="5"/>
  <c r="H24" i="5"/>
  <c r="H25" i="5"/>
  <c r="S16" i="1"/>
  <c r="D184" i="5"/>
  <c r="C180" i="5"/>
  <c r="E150" i="5"/>
  <c r="D153" i="5"/>
  <c r="E153" i="5"/>
  <c r="H139" i="5"/>
  <c r="H140" i="5"/>
  <c r="J126" i="5"/>
  <c r="I139" i="5"/>
  <c r="I140" i="5"/>
  <c r="J140" i="5"/>
  <c r="E19" i="5"/>
  <c r="O58" i="3"/>
  <c r="D176" i="5"/>
  <c r="E176" i="5"/>
  <c r="O49" i="3"/>
  <c r="C51" i="3"/>
  <c r="D146" i="5"/>
  <c r="O39" i="3"/>
  <c r="O37" i="3"/>
  <c r="O25" i="3"/>
  <c r="O19" i="3"/>
  <c r="F20" i="3"/>
  <c r="O20" i="3"/>
  <c r="F99" i="2"/>
  <c r="F84" i="2"/>
  <c r="D161" i="5"/>
  <c r="E161" i="5"/>
  <c r="K173" i="1"/>
  <c r="H173" i="1"/>
  <c r="F193" i="1"/>
  <c r="F213" i="1"/>
  <c r="F273" i="1"/>
  <c r="D213" i="1"/>
  <c r="D253" i="1"/>
  <c r="H293" i="1"/>
  <c r="I293" i="1"/>
  <c r="F253" i="1"/>
  <c r="J273" i="1"/>
  <c r="W24" i="1"/>
  <c r="J115" i="5"/>
  <c r="I115" i="5"/>
  <c r="U24" i="1"/>
  <c r="Q24" i="1"/>
  <c r="P28" i="1"/>
  <c r="P29" i="1"/>
  <c r="V20" i="1"/>
  <c r="R20" i="1"/>
  <c r="G183" i="2"/>
  <c r="C90" i="2"/>
  <c r="F105" i="2"/>
  <c r="AK233" i="2"/>
  <c r="AK357" i="2"/>
  <c r="AK360" i="2"/>
  <c r="C86" i="2"/>
  <c r="F101" i="2"/>
  <c r="F86" i="2"/>
  <c r="F375" i="2"/>
  <c r="F340" i="2"/>
  <c r="F46" i="2"/>
  <c r="E81" i="2"/>
  <c r="P314" i="1"/>
  <c r="C50" i="2"/>
  <c r="D62" i="2"/>
  <c r="D95" i="2"/>
  <c r="O313" i="1"/>
  <c r="D47" i="5"/>
  <c r="D48" i="5"/>
  <c r="E48" i="5"/>
  <c r="J94" i="5"/>
  <c r="X360" i="2"/>
  <c r="C85" i="2"/>
  <c r="F100" i="2"/>
  <c r="C375" i="2"/>
  <c r="AI370" i="2"/>
  <c r="AJ365" i="2"/>
  <c r="AG365" i="2"/>
  <c r="T350" i="2"/>
  <c r="C183" i="2"/>
  <c r="C184" i="2"/>
  <c r="F57" i="2"/>
  <c r="C102" i="2"/>
  <c r="C87" i="2"/>
  <c r="AE320" i="2"/>
  <c r="D86" i="2"/>
  <c r="D85" i="2"/>
  <c r="F103" i="2"/>
  <c r="C88" i="2"/>
  <c r="M375" i="2"/>
  <c r="AC375" i="2"/>
  <c r="V375" i="2"/>
  <c r="R375" i="2"/>
  <c r="AA370" i="2"/>
  <c r="U355" i="2"/>
  <c r="O340" i="2"/>
  <c r="K340" i="2"/>
  <c r="P375" i="2"/>
  <c r="P365" i="2"/>
  <c r="V360" i="2"/>
  <c r="S360" i="2"/>
  <c r="I360" i="2"/>
  <c r="Y355" i="2"/>
  <c r="G355" i="2"/>
  <c r="S350" i="2"/>
  <c r="AE345" i="2"/>
  <c r="AA345" i="2"/>
  <c r="T345" i="2"/>
  <c r="T330" i="2"/>
  <c r="T376" i="2"/>
  <c r="AG375" i="2"/>
  <c r="S375" i="2"/>
  <c r="O365" i="2"/>
  <c r="AJ360" i="2"/>
  <c r="R360" i="2"/>
  <c r="J355" i="2"/>
  <c r="AB355" i="2"/>
  <c r="Q355" i="2"/>
  <c r="C355" i="2"/>
  <c r="AG350" i="2"/>
  <c r="V350" i="2"/>
  <c r="K350" i="2"/>
  <c r="G350" i="2"/>
  <c r="AK307" i="2"/>
  <c r="M313" i="1"/>
  <c r="B80" i="2"/>
  <c r="J32" i="5"/>
  <c r="I34" i="5"/>
  <c r="I47" i="5"/>
  <c r="C345" i="2"/>
  <c r="E325" i="2"/>
  <c r="V320" i="2"/>
  <c r="J320" i="2"/>
  <c r="F320" i="2"/>
  <c r="J57" i="5"/>
  <c r="J70" i="5"/>
  <c r="E23" i="5"/>
  <c r="E24" i="5"/>
  <c r="J21" i="5"/>
  <c r="I23" i="5"/>
  <c r="J23" i="5"/>
  <c r="J24" i="5"/>
  <c r="AD345" i="2"/>
  <c r="S345" i="2"/>
  <c r="G345" i="2"/>
  <c r="Y340" i="2"/>
  <c r="U340" i="2"/>
  <c r="AA340" i="2"/>
  <c r="AK349" i="2"/>
  <c r="AK339" i="2"/>
  <c r="O42" i="3"/>
  <c r="F35" i="2"/>
  <c r="B47" i="2"/>
  <c r="E130" i="5"/>
  <c r="E84" i="5"/>
  <c r="E93" i="5"/>
  <c r="O59" i="3"/>
  <c r="I19" i="6"/>
  <c r="O38" i="3"/>
  <c r="H313" i="1"/>
  <c r="I24" i="5"/>
  <c r="I25" i="5"/>
  <c r="J34" i="5"/>
  <c r="J47" i="5"/>
  <c r="I48" i="5"/>
  <c r="J48" i="5"/>
  <c r="F50" i="2"/>
  <c r="F90" i="2"/>
  <c r="I193" i="1"/>
  <c r="I233" i="1"/>
  <c r="I213" i="1"/>
  <c r="AK319" i="2"/>
  <c r="AK320" i="2"/>
  <c r="C233" i="1"/>
  <c r="E95" i="2"/>
  <c r="F19" i="2"/>
  <c r="F4" i="2"/>
  <c r="P313" i="1"/>
  <c r="E80" i="2"/>
  <c r="K313" i="1"/>
  <c r="AA330" i="2"/>
  <c r="AA376" i="2"/>
  <c r="K330" i="2"/>
  <c r="K376" i="2"/>
  <c r="AJ330" i="2"/>
  <c r="AJ376" i="2"/>
  <c r="O330" i="2"/>
  <c r="O376" i="2"/>
  <c r="G124" i="2"/>
  <c r="AD325" i="2"/>
  <c r="AK322" i="2"/>
  <c r="AK262" i="2"/>
  <c r="R325" i="2"/>
  <c r="J325" i="2"/>
  <c r="H325" i="2"/>
  <c r="G234" i="1"/>
  <c r="G119" i="2"/>
  <c r="H314" i="1"/>
  <c r="M314" i="1"/>
  <c r="F16" i="2"/>
  <c r="AK323" i="2"/>
  <c r="AE325" i="2"/>
  <c r="AA325" i="2"/>
  <c r="V325" i="2"/>
  <c r="S325" i="2"/>
  <c r="M325" i="2"/>
  <c r="H174" i="1"/>
  <c r="H294" i="1"/>
  <c r="I294" i="1"/>
  <c r="E329" i="1"/>
  <c r="C62" i="2"/>
  <c r="F62" i="2"/>
  <c r="O314" i="1"/>
  <c r="C96" i="2"/>
  <c r="C31" i="2"/>
  <c r="F31" i="2"/>
  <c r="AH325" i="2"/>
  <c r="I194" i="1"/>
  <c r="U325" i="2"/>
  <c r="AK324" i="2"/>
  <c r="W325" i="2"/>
  <c r="O325" i="2"/>
  <c r="I325" i="2"/>
  <c r="G325" i="2"/>
  <c r="E254" i="1"/>
  <c r="C325" i="2"/>
  <c r="D194" i="1"/>
  <c r="C234" i="1"/>
  <c r="AK198" i="2"/>
  <c r="C81" i="2"/>
  <c r="I314" i="1"/>
  <c r="E47" i="2"/>
  <c r="F194" i="1"/>
  <c r="AB73" i="1"/>
  <c r="J214" i="1"/>
  <c r="F85" i="2"/>
  <c r="F88" i="2"/>
  <c r="K314" i="1"/>
  <c r="G164" i="2"/>
  <c r="AB93" i="1"/>
  <c r="D80" i="2"/>
  <c r="F102" i="2"/>
  <c r="E213" i="1"/>
  <c r="J25" i="5"/>
  <c r="G193" i="1"/>
  <c r="M173" i="1"/>
  <c r="AK329" i="2"/>
  <c r="D172" i="5"/>
  <c r="O51" i="3"/>
  <c r="F104" i="2"/>
  <c r="C89" i="2"/>
  <c r="AC335" i="2"/>
  <c r="Y335" i="2"/>
  <c r="I149" i="5"/>
  <c r="E146" i="5"/>
  <c r="C82" i="2"/>
  <c r="I316" i="1"/>
  <c r="I329" i="1" s="1"/>
  <c r="F97" i="2"/>
  <c r="X375" i="2"/>
  <c r="AF350" i="2"/>
  <c r="C91" i="2"/>
  <c r="F106" i="2"/>
  <c r="AA375" i="2"/>
  <c r="AD320" i="2"/>
  <c r="AK213" i="2"/>
  <c r="AK338" i="2"/>
  <c r="AK340" i="2"/>
  <c r="C164" i="2"/>
  <c r="C165" i="2"/>
  <c r="G165" i="2"/>
  <c r="G214" i="1"/>
  <c r="G274" i="1"/>
  <c r="AD360" i="2"/>
  <c r="Z360" i="2"/>
  <c r="Z350" i="2"/>
  <c r="R350" i="2"/>
  <c r="N350" i="2"/>
  <c r="AH340" i="2"/>
  <c r="Q335" i="2"/>
  <c r="C335" i="2"/>
  <c r="AK375" i="2"/>
  <c r="AK345" i="2"/>
  <c r="AB375" i="2"/>
  <c r="AH375" i="2"/>
  <c r="H375" i="2"/>
  <c r="I365" i="2"/>
  <c r="C365" i="2"/>
  <c r="J340" i="2"/>
  <c r="E88" i="2"/>
  <c r="J150" i="5"/>
  <c r="H153" i="5"/>
  <c r="H162" i="5"/>
  <c r="H163" i="5"/>
  <c r="D148" i="5"/>
  <c r="E148" i="5"/>
  <c r="E51" i="3"/>
  <c r="O30" i="3"/>
  <c r="AJ375" i="2"/>
  <c r="AF370" i="2"/>
  <c r="X370" i="2"/>
  <c r="P370" i="2"/>
  <c r="L370" i="2"/>
  <c r="S365" i="2"/>
  <c r="M360" i="2"/>
  <c r="B355" i="2"/>
  <c r="AK348" i="2"/>
  <c r="AK350" i="2"/>
  <c r="AJ350" i="2"/>
  <c r="W345" i="2"/>
  <c r="H330" i="2"/>
  <c r="H376" i="2"/>
  <c r="AA320" i="2"/>
  <c r="P316" i="1"/>
  <c r="E82" i="2"/>
  <c r="AI375" i="2"/>
  <c r="Z370" i="2"/>
  <c r="B365" i="2"/>
  <c r="AD365" i="2"/>
  <c r="AA365" i="2"/>
  <c r="H365" i="2"/>
  <c r="B360" i="2"/>
  <c r="Q360" i="2"/>
  <c r="D355" i="2"/>
  <c r="AJ340" i="2"/>
  <c r="M340" i="2"/>
  <c r="W330" i="2"/>
  <c r="W376" i="2"/>
  <c r="AI325" i="2"/>
  <c r="C95" i="2"/>
  <c r="C63" i="3"/>
  <c r="O63" i="3"/>
  <c r="O61" i="3"/>
  <c r="L375" i="2"/>
  <c r="B375" i="2"/>
  <c r="W370" i="2"/>
  <c r="R370" i="2"/>
  <c r="D370" i="2"/>
  <c r="Q365" i="2"/>
  <c r="E365" i="2"/>
  <c r="AF360" i="2"/>
  <c r="T360" i="2"/>
  <c r="G360" i="2"/>
  <c r="AG355" i="2"/>
  <c r="X345" i="2"/>
  <c r="AD340" i="2"/>
  <c r="B340" i="2"/>
  <c r="N335" i="2"/>
  <c r="K325" i="2"/>
  <c r="AJ320" i="2"/>
  <c r="G162" i="2"/>
  <c r="C157" i="5"/>
  <c r="C162" i="5"/>
  <c r="C163" i="5"/>
  <c r="Z330" i="2"/>
  <c r="Z376" i="2"/>
  <c r="B325" i="2"/>
  <c r="C194" i="1"/>
  <c r="X320" i="2"/>
  <c r="I320" i="2"/>
  <c r="B320" i="2"/>
  <c r="F234" i="1"/>
  <c r="D93" i="5"/>
  <c r="D94" i="5"/>
  <c r="E94" i="5"/>
  <c r="O50" i="3"/>
  <c r="AK355" i="2"/>
  <c r="Z320" i="2"/>
  <c r="S320" i="2"/>
  <c r="AK257" i="2"/>
  <c r="AK354" i="2"/>
  <c r="L174" i="1"/>
  <c r="E176" i="1"/>
  <c r="F183" i="2"/>
  <c r="F184" i="2"/>
  <c r="G184" i="2"/>
  <c r="G185" i="2"/>
  <c r="O54" i="3"/>
  <c r="O33" i="3"/>
  <c r="C35" i="3"/>
  <c r="O35" i="3"/>
  <c r="O62" i="3"/>
  <c r="F313" i="1"/>
  <c r="F316" i="1"/>
  <c r="F329" i="1" s="1"/>
  <c r="C65" i="2"/>
  <c r="E77" i="2"/>
  <c r="K174" i="1"/>
  <c r="E169" i="5"/>
  <c r="O31" i="3"/>
  <c r="E92" i="2"/>
  <c r="AK325" i="2"/>
  <c r="F96" i="2"/>
  <c r="N314" i="1"/>
  <c r="I254" i="1"/>
  <c r="I214" i="1"/>
  <c r="K194" i="1"/>
  <c r="D254" i="1"/>
  <c r="D214" i="1"/>
  <c r="P329" i="1"/>
  <c r="L193" i="1"/>
  <c r="E172" i="5"/>
  <c r="E185" i="5"/>
  <c r="D185" i="5"/>
  <c r="D186" i="5"/>
  <c r="E186" i="5"/>
  <c r="K316" i="1"/>
  <c r="K329" i="1"/>
  <c r="L194" i="1"/>
  <c r="L254" i="1"/>
  <c r="C376" i="2"/>
  <c r="G166" i="2"/>
  <c r="J153" i="5"/>
  <c r="J149" i="5"/>
  <c r="I162" i="5"/>
  <c r="I163" i="5"/>
  <c r="J163" i="5"/>
  <c r="F89" i="2"/>
  <c r="F87" i="2"/>
  <c r="F214" i="1"/>
  <c r="C193" i="1"/>
  <c r="AC93" i="1"/>
  <c r="C77" i="2"/>
  <c r="F77" i="2"/>
  <c r="F65" i="2"/>
  <c r="AB53" i="1"/>
  <c r="D313" i="1"/>
  <c r="H193" i="1"/>
  <c r="K193" i="1"/>
  <c r="K234" i="1"/>
  <c r="M174" i="1"/>
  <c r="C214" i="1"/>
  <c r="C274" i="1"/>
  <c r="N313" i="1"/>
  <c r="N316" i="1"/>
  <c r="N329" i="1" s="1"/>
  <c r="F95" i="2"/>
  <c r="C80" i="2"/>
  <c r="F91" i="2"/>
  <c r="D149" i="5"/>
  <c r="H194" i="1"/>
  <c r="M233" i="1"/>
  <c r="G213" i="1"/>
  <c r="G253" i="1"/>
  <c r="J313" i="1"/>
  <c r="D92" i="2"/>
  <c r="F81" i="2"/>
  <c r="AB14" i="1"/>
  <c r="AC14" i="1"/>
  <c r="Q314" i="1"/>
  <c r="L214" i="1"/>
  <c r="L274" i="1"/>
  <c r="M194" i="1"/>
  <c r="M254" i="1"/>
  <c r="K214" i="1"/>
  <c r="K274" i="1"/>
  <c r="D274" i="1"/>
  <c r="G273" i="1"/>
  <c r="AB13" i="1"/>
  <c r="G35" i="2"/>
  <c r="Q313" i="1"/>
  <c r="F80" i="2"/>
  <c r="G50" i="2"/>
  <c r="C213" i="1"/>
  <c r="C253" i="1"/>
  <c r="M193" i="1"/>
  <c r="L253" i="1"/>
  <c r="L213" i="1"/>
  <c r="D162" i="5"/>
  <c r="D163" i="5"/>
  <c r="E163" i="5"/>
  <c r="E149" i="5"/>
  <c r="E162" i="5"/>
  <c r="H213" i="1"/>
  <c r="H253" i="1"/>
  <c r="D316" i="1"/>
  <c r="D329" i="1"/>
  <c r="G313" i="1"/>
  <c r="I313" i="1"/>
  <c r="H254" i="1"/>
  <c r="H214" i="1"/>
  <c r="H274" i="1"/>
  <c r="K213" i="1"/>
  <c r="K253" i="1"/>
  <c r="J162" i="5"/>
  <c r="L314" i="1"/>
  <c r="AB34" i="1"/>
  <c r="M214" i="1"/>
  <c r="AC13" i="1"/>
  <c r="C273" i="1"/>
  <c r="L313" i="1"/>
  <c r="AB33" i="1"/>
  <c r="K273" i="1"/>
  <c r="M213" i="1"/>
  <c r="AC33" i="1"/>
  <c r="J25" i="7"/>
  <c r="E25" i="7"/>
  <c r="I52" i="7"/>
  <c r="AK333" i="2"/>
  <c r="B145" i="2"/>
  <c r="B146" i="2"/>
  <c r="C47" i="2"/>
  <c r="F47" i="2"/>
  <c r="C98" i="2"/>
  <c r="C83" i="2"/>
  <c r="C107" i="2"/>
  <c r="F98" i="2"/>
  <c r="C92" i="2"/>
  <c r="AK332" i="2"/>
  <c r="AK335" i="2"/>
  <c r="G146" i="2"/>
  <c r="G147" i="2"/>
  <c r="C329" i="1"/>
  <c r="F83" i="2"/>
  <c r="B83" i="2"/>
  <c r="E189" i="1"/>
  <c r="AK267" i="2"/>
  <c r="AG330" i="2"/>
  <c r="AC330" i="2"/>
  <c r="AC376" i="2"/>
  <c r="Y330" i="2"/>
  <c r="Y376" i="2"/>
  <c r="AK327" i="2"/>
  <c r="G330" i="2"/>
  <c r="F376" i="2"/>
  <c r="E376" i="2"/>
  <c r="F176" i="1"/>
  <c r="AK203" i="2"/>
  <c r="D126" i="2"/>
  <c r="D127" i="2"/>
  <c r="Q316" i="1"/>
  <c r="Q329" i="1" s="1"/>
  <c r="B107" i="2"/>
  <c r="F107" i="2"/>
  <c r="F82" i="2"/>
  <c r="B82" i="2"/>
  <c r="AB16" i="1"/>
  <c r="AB29" i="1" s="1"/>
  <c r="E79" i="7"/>
  <c r="AH376" i="2"/>
  <c r="AI376" i="2"/>
  <c r="L176" i="1"/>
  <c r="I176" i="1"/>
  <c r="J176" i="1"/>
  <c r="M376" i="2"/>
  <c r="H176" i="1"/>
  <c r="G196" i="1"/>
  <c r="G216" i="1"/>
  <c r="G176" i="1"/>
  <c r="F189" i="1"/>
  <c r="D376" i="2"/>
  <c r="AK328" i="2"/>
  <c r="D176" i="1"/>
  <c r="D196" i="1"/>
  <c r="B376" i="2"/>
  <c r="C176" i="1"/>
  <c r="C189" i="1" s="1"/>
  <c r="G126" i="2"/>
  <c r="E126" i="2"/>
  <c r="E127" i="2"/>
  <c r="G127" i="2"/>
  <c r="C309" i="1"/>
  <c r="H296" i="1"/>
  <c r="H309" i="1" s="1"/>
  <c r="AB56" i="1"/>
  <c r="AB69" i="1" s="1"/>
  <c r="D107" i="2"/>
  <c r="AB96" i="1"/>
  <c r="AB109" i="1" s="1"/>
  <c r="AB76" i="1"/>
  <c r="AG376" i="2"/>
  <c r="G376" i="2"/>
  <c r="I196" i="1"/>
  <c r="I209" i="1" s="1"/>
  <c r="I216" i="1"/>
  <c r="J196" i="1"/>
  <c r="J216" i="1"/>
  <c r="K196" i="1"/>
  <c r="K209" i="1" s="1"/>
  <c r="AK330" i="2"/>
  <c r="AK376" i="2"/>
  <c r="F196" i="1"/>
  <c r="H316" i="1"/>
  <c r="H329" i="1"/>
  <c r="B92" i="2"/>
  <c r="F92" i="2"/>
  <c r="L316" i="1"/>
  <c r="L329" i="1"/>
  <c r="L196" i="1"/>
  <c r="L209" i="1" s="1"/>
  <c r="L189" i="1"/>
  <c r="I189" i="1"/>
  <c r="J209" i="1"/>
  <c r="K176" i="1"/>
  <c r="K189" i="1"/>
  <c r="H196" i="1"/>
  <c r="G209" i="1"/>
  <c r="G189" i="1"/>
  <c r="F216" i="1"/>
  <c r="E196" i="1"/>
  <c r="E209" i="1" s="1"/>
  <c r="D216" i="1"/>
  <c r="D209" i="1"/>
  <c r="D189" i="1"/>
  <c r="C196" i="1"/>
  <c r="C209" i="1" s="1"/>
  <c r="G128" i="2"/>
  <c r="F209" i="1"/>
  <c r="AB36" i="1"/>
  <c r="M176" i="1"/>
  <c r="H209" i="1"/>
  <c r="H216" i="1"/>
  <c r="E216" i="1"/>
  <c r="M196" i="1"/>
  <c r="M189" i="1"/>
  <c r="M209" i="1"/>
  <c r="D103" i="5"/>
  <c r="D116" i="5"/>
  <c r="D117" i="5" s="1"/>
  <c r="G229" i="1" l="1"/>
  <c r="K216" i="1"/>
  <c r="M216" i="1"/>
  <c r="L216" i="1"/>
  <c r="D229" i="1"/>
  <c r="H229" i="1"/>
  <c r="L229" i="1"/>
  <c r="I229" i="1"/>
  <c r="C216" i="1"/>
  <c r="J229" i="1"/>
  <c r="H189" i="1"/>
  <c r="J189" i="1"/>
  <c r="M229" i="1"/>
  <c r="AB49" i="1"/>
  <c r="R29" i="1"/>
  <c r="Q29" i="1"/>
  <c r="V29" i="1"/>
  <c r="W29" i="1"/>
  <c r="H115" i="5"/>
  <c r="C103" i="5"/>
  <c r="C116" i="5" s="1"/>
  <c r="C117" i="5" s="1"/>
  <c r="E117" i="5" s="1"/>
  <c r="J101" i="5"/>
  <c r="D126" i="5"/>
  <c r="D139" i="5" s="1"/>
  <c r="D140" i="5" s="1"/>
  <c r="E140" i="5" s="1"/>
  <c r="I103" i="5"/>
  <c r="E103" i="5"/>
  <c r="E116" i="5" s="1"/>
  <c r="E126" i="5"/>
  <c r="E139" i="5" s="1"/>
  <c r="J104" i="5"/>
  <c r="E102" i="5"/>
  <c r="H103" i="5"/>
  <c r="H116" i="5" s="1"/>
  <c r="H117" i="5" s="1"/>
  <c r="E229" i="1" l="1"/>
  <c r="K229" i="1"/>
  <c r="F229" i="1"/>
  <c r="C229" i="1"/>
  <c r="I116" i="5"/>
  <c r="I117" i="5" s="1"/>
  <c r="J117" i="5" s="1"/>
  <c r="J103" i="5"/>
  <c r="J116" i="5" s="1"/>
</calcChain>
</file>

<file path=xl/comments1.xml><?xml version="1.0" encoding="utf-8"?>
<comments xmlns="http://schemas.openxmlformats.org/spreadsheetml/2006/main">
  <authors>
    <author>Careme C. Carty</author>
    <author>Brittanydc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Careme C. Carty:</t>
        </r>
        <r>
          <rPr>
            <sz val="9"/>
            <color indexed="81"/>
            <rFont val="Tahoma"/>
            <family val="2"/>
          </rPr>
          <t xml:space="preserve">
Updated figures April 12, 2018, change from 1,195 to 1214
</t>
        </r>
      </text>
    </comment>
    <comment ref="L188" authorId="1">
      <text>
        <r>
          <rPr>
            <b/>
            <sz val="8"/>
            <color indexed="81"/>
            <rFont val="Tahoma"/>
            <family val="2"/>
          </rPr>
          <t>Brittanydc:</t>
        </r>
        <r>
          <rPr>
            <sz val="8"/>
            <color indexed="81"/>
            <rFont val="Tahoma"/>
            <family val="2"/>
          </rPr>
          <t xml:space="preserve">
Eastern European Countries</t>
        </r>
      </text>
    </comment>
    <comment ref="L252" authorId="1">
      <text>
        <r>
          <rPr>
            <b/>
            <sz val="8"/>
            <color indexed="81"/>
            <rFont val="Tahoma"/>
            <family val="2"/>
          </rPr>
          <t>Brittanydc:</t>
        </r>
        <r>
          <rPr>
            <sz val="8"/>
            <color indexed="81"/>
            <rFont val="Tahoma"/>
            <family val="2"/>
          </rPr>
          <t xml:space="preserve">
Eastern European Countries</t>
        </r>
      </text>
    </comment>
    <comment ref="L315" authorId="1">
      <text>
        <r>
          <rPr>
            <b/>
            <sz val="8"/>
            <color indexed="81"/>
            <rFont val="Tahoma"/>
            <family val="2"/>
          </rPr>
          <t>Brittanydc:</t>
        </r>
        <r>
          <rPr>
            <sz val="8"/>
            <color indexed="81"/>
            <rFont val="Tahoma"/>
            <family val="2"/>
          </rPr>
          <t xml:space="preserve">
Eastern European Countries </t>
        </r>
      </text>
    </comment>
  </commentList>
</comments>
</file>

<file path=xl/sharedStrings.xml><?xml version="1.0" encoding="utf-8"?>
<sst xmlns="http://schemas.openxmlformats.org/spreadsheetml/2006/main" count="1596" uniqueCount="245">
  <si>
    <t>TOTAL</t>
  </si>
  <si>
    <t>Sandy Ground</t>
  </si>
  <si>
    <t>USA</t>
  </si>
  <si>
    <t>Other</t>
  </si>
  <si>
    <t>Canada</t>
  </si>
  <si>
    <t>Italy</t>
  </si>
  <si>
    <t>Germany</t>
  </si>
  <si>
    <t>Total</t>
  </si>
  <si>
    <t xml:space="preserve">Month </t>
  </si>
  <si>
    <t>Jan</t>
  </si>
  <si>
    <t>Feb</t>
  </si>
  <si>
    <t>March</t>
  </si>
  <si>
    <t>1st qtr</t>
  </si>
  <si>
    <t>April</t>
  </si>
  <si>
    <t>May</t>
  </si>
  <si>
    <t>June</t>
  </si>
  <si>
    <t>2nd qtr</t>
  </si>
  <si>
    <t>July</t>
  </si>
  <si>
    <t>August</t>
  </si>
  <si>
    <t>Sept</t>
  </si>
  <si>
    <t>3rd qtr</t>
  </si>
  <si>
    <t>Oct</t>
  </si>
  <si>
    <t>Nov</t>
  </si>
  <si>
    <t>Dec</t>
  </si>
  <si>
    <t>4th qtr</t>
  </si>
  <si>
    <t>Month</t>
  </si>
  <si>
    <t>U.K.</t>
  </si>
  <si>
    <t>Eur(oth)</t>
  </si>
  <si>
    <t>FWI</t>
  </si>
  <si>
    <t>DWI</t>
  </si>
  <si>
    <t>Carib.</t>
  </si>
  <si>
    <t xml:space="preserve">Total </t>
  </si>
  <si>
    <t xml:space="preserve">   1-3</t>
  </si>
  <si>
    <t xml:space="preserve">   4-7</t>
  </si>
  <si>
    <t xml:space="preserve"> 8-15</t>
  </si>
  <si>
    <t>16-22</t>
  </si>
  <si>
    <t>Avg 2003</t>
  </si>
  <si>
    <t>Avg 2004</t>
  </si>
  <si>
    <t>Tourist Arrivals by Port</t>
  </si>
  <si>
    <t xml:space="preserve">Air </t>
  </si>
  <si>
    <t xml:space="preserve">Sea </t>
  </si>
  <si>
    <t xml:space="preserve">Blowing Point </t>
  </si>
  <si>
    <t>Visitor Arrivals by Port</t>
  </si>
  <si>
    <t>Avg 2005</t>
  </si>
  <si>
    <t>Excursionist Arrivals by Port</t>
  </si>
  <si>
    <t>Avg 2006</t>
  </si>
  <si>
    <t>Avg 2007</t>
  </si>
  <si>
    <t>Mar</t>
  </si>
  <si>
    <t>Apr</t>
  </si>
  <si>
    <t>Jun</t>
  </si>
  <si>
    <t>Jul</t>
  </si>
  <si>
    <t>Aug</t>
  </si>
  <si>
    <t>Avg 2008</t>
  </si>
  <si>
    <r>
      <t xml:space="preserve">    23</t>
    </r>
    <r>
      <rPr>
        <b/>
        <vertAlign val="superscript"/>
        <sz val="12"/>
        <rFont val="Times New Roman"/>
        <family val="1"/>
      </rPr>
      <t>+</t>
    </r>
    <r>
      <rPr>
        <b/>
        <sz val="12"/>
        <rFont val="Times New Roman"/>
        <family val="1"/>
      </rPr>
      <t xml:space="preserve"> </t>
    </r>
  </si>
  <si>
    <t>Avg 2009</t>
  </si>
  <si>
    <t>Avg 2011</t>
  </si>
  <si>
    <t>Avg 2010</t>
  </si>
  <si>
    <t>Avg 2012</t>
  </si>
  <si>
    <t>Avg 2013</t>
  </si>
  <si>
    <t>Avg 2014</t>
  </si>
  <si>
    <t>Avg 2015</t>
  </si>
  <si>
    <t>AIR (Wallblake)</t>
  </si>
  <si>
    <t>SEA(sum of BP &amp; SG)</t>
  </si>
  <si>
    <t>BL. POINT</t>
  </si>
  <si>
    <t>SDY. GR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</si>
  <si>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</si>
  <si>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</si>
  <si>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</si>
  <si>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</si>
  <si>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</si>
  <si>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</si>
  <si>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</si>
  <si>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</si>
  <si>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</si>
  <si>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</si>
  <si>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</si>
  <si>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</si>
  <si>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AIR</t>
  </si>
  <si>
    <t>SEA</t>
  </si>
  <si>
    <t>VISITOR ARRIVALS BY PURPOSE</t>
  </si>
  <si>
    <t>VACATION (sum of male and female tourists arrivals)</t>
  </si>
  <si>
    <t>BUSINESS (male &amp; female arrivals)</t>
  </si>
  <si>
    <t>EXCURSIONISTS BY AIR AND SEA   (Day visitor arrivals)</t>
  </si>
  <si>
    <t>TOURISTS BY AIR AND SEA   (derived from visitors - excursionists)</t>
  </si>
  <si>
    <t xml:space="preserve">VISITORS BY AIR AND SEA  </t>
  </si>
  <si>
    <t>MONTHLY TOURIST ARRIVALS BY LENGTH OF STAY (check that total tourists by length of stay equals total tourists)</t>
  </si>
  <si>
    <t xml:space="preserve">     1-3</t>
  </si>
  <si>
    <t xml:space="preserve">     4-7</t>
  </si>
  <si>
    <t xml:space="preserve">    8-15</t>
  </si>
  <si>
    <t xml:space="preserve">   16-22</t>
  </si>
  <si>
    <t xml:space="preserve">     23+</t>
  </si>
  <si>
    <t xml:space="preserve">   TOTAL</t>
  </si>
  <si>
    <t>Airport</t>
  </si>
  <si>
    <t>Blowing Point</t>
  </si>
  <si>
    <t xml:space="preserve">1ST QUARTER </t>
  </si>
  <si>
    <t xml:space="preserve">  TOTAL</t>
  </si>
  <si>
    <t xml:space="preserve">  BEDNGTS</t>
  </si>
  <si>
    <t xml:space="preserve">  AVG LS</t>
  </si>
  <si>
    <t>=</t>
  </si>
  <si>
    <t xml:space="preserve">P/E 2ND QUARTER </t>
  </si>
  <si>
    <t>SEP</t>
  </si>
  <si>
    <t xml:space="preserve">P/E 3RD QUARTER </t>
  </si>
  <si>
    <t xml:space="preserve">P/E 4TH QUARTER </t>
  </si>
  <si>
    <t>VISITOR ARRIVALS BY COUNTRY OF RESIDENCE</t>
  </si>
  <si>
    <t>Canada(CDA)</t>
  </si>
  <si>
    <t>UK(M)</t>
  </si>
  <si>
    <t>Italy(ITL)</t>
  </si>
  <si>
    <t>Germany(GMY)</t>
  </si>
  <si>
    <t>Switzerland(SWD)</t>
  </si>
  <si>
    <t>Austria(AUS)</t>
  </si>
  <si>
    <t>Belgium(BLG)</t>
  </si>
  <si>
    <t>France(FRA)</t>
  </si>
  <si>
    <t>Luxemburg(LUX)</t>
  </si>
  <si>
    <t>EEC</t>
  </si>
  <si>
    <t>Puerto Rico(PRC)</t>
  </si>
  <si>
    <t>Bahamas(BHS)</t>
  </si>
  <si>
    <t>Bermuda(BMA)</t>
  </si>
  <si>
    <t>Jamaica(JAM)</t>
  </si>
  <si>
    <t>Cuba(CBA)</t>
  </si>
  <si>
    <t>Turks &amp; Caicos(TCS)</t>
  </si>
  <si>
    <t>Cayman Islands(CAY)</t>
  </si>
  <si>
    <t>Guyana (GUY)</t>
  </si>
  <si>
    <t>Barbados(BDS)</t>
  </si>
  <si>
    <t>T &amp; Tobago(TTO)</t>
  </si>
  <si>
    <t>St. Vincent(SVG)</t>
  </si>
  <si>
    <t>St. Lucia(SLU)</t>
  </si>
  <si>
    <t>Grenada(GDA)</t>
  </si>
  <si>
    <t>Dominica(DCA)</t>
  </si>
  <si>
    <t>Antigua(ANU)</t>
  </si>
  <si>
    <t>St. Kitts(SKN)</t>
  </si>
  <si>
    <t>Montserrat(MRT)</t>
  </si>
  <si>
    <t>Dominican Republic(DRC)</t>
  </si>
  <si>
    <t>Tortola(BVI)</t>
  </si>
  <si>
    <t>Haiti(HTI)</t>
  </si>
  <si>
    <t>St. Maarten(SMD)</t>
  </si>
  <si>
    <t>St. Martin(SMF)</t>
  </si>
  <si>
    <t>Other(OTH)</t>
  </si>
  <si>
    <t>Central &amp; South America(CSA)</t>
  </si>
  <si>
    <t/>
  </si>
  <si>
    <t xml:space="preserve">EXCURSIONIST ARRIVALS BY COUNTRY OF RESIDENCE </t>
  </si>
  <si>
    <t>UK</t>
  </si>
  <si>
    <t xml:space="preserve">TOURIST ARRIVALS BY COUNTRY OF RESIDENCE </t>
  </si>
  <si>
    <t>Switzerland(SWI)</t>
  </si>
  <si>
    <t>Grand Total</t>
  </si>
  <si>
    <t>Sep</t>
  </si>
  <si>
    <t>Vessels</t>
  </si>
  <si>
    <t>Passengers</t>
  </si>
  <si>
    <t>Passengers per vessel</t>
  </si>
  <si>
    <t>Crew Members</t>
  </si>
  <si>
    <t>Anguilla: Mid-Sized Cruise Vessel Arrivals</t>
  </si>
  <si>
    <t>Cruise Ship Arrivals 2003</t>
  </si>
  <si>
    <t>Cruise Ship Arrivals 2004</t>
  </si>
  <si>
    <t>Passenger per vessel</t>
  </si>
  <si>
    <t xml:space="preserve"> Vessels</t>
  </si>
  <si>
    <t xml:space="preserve"> Passengers</t>
  </si>
  <si>
    <t>Passenger Per Vessel</t>
  </si>
  <si>
    <t>January</t>
  </si>
  <si>
    <t>February</t>
  </si>
  <si>
    <t>1st Qtr</t>
  </si>
  <si>
    <t>September</t>
  </si>
  <si>
    <t>3rd Qtr</t>
  </si>
  <si>
    <t>October</t>
  </si>
  <si>
    <t>November</t>
  </si>
  <si>
    <t>December</t>
  </si>
  <si>
    <t>4th Qtr</t>
  </si>
  <si>
    <t>Ave</t>
  </si>
  <si>
    <t>Cruise Ship Arrivals 2005</t>
  </si>
  <si>
    <t>Cruise Ship Arrivals 2006</t>
  </si>
  <si>
    <t>Cruise Ship Arrivals 2007</t>
  </si>
  <si>
    <t>Cruise Ship Arrivals 2008</t>
  </si>
  <si>
    <t>Cruise Ship Arrivals 2009</t>
  </si>
  <si>
    <t>Cruise Ship Arrivals 2010</t>
  </si>
  <si>
    <t>Cruise Ship Arrivals 2011</t>
  </si>
  <si>
    <t>Cruise Ship Arrivals 2012</t>
  </si>
  <si>
    <t>Cruise Ship Arrivals 2013</t>
  </si>
  <si>
    <t>Cruise Ship Arrivals 2014</t>
  </si>
  <si>
    <t>Airplanes</t>
  </si>
  <si>
    <t>Ferries</t>
  </si>
  <si>
    <t>Yachts &amp; Excursions</t>
  </si>
  <si>
    <t>Total Boats</t>
  </si>
  <si>
    <t xml:space="preserve">January </t>
  </si>
  <si>
    <t xml:space="preserve">March </t>
  </si>
  <si>
    <t xml:space="preserve">April </t>
  </si>
  <si>
    <t xml:space="preserve">May </t>
  </si>
  <si>
    <t>Cruise Ship Arrivals 2015</t>
  </si>
  <si>
    <t>Avg 2016</t>
  </si>
  <si>
    <t>Cruise Ship Arrivals 2016</t>
  </si>
  <si>
    <t>Visitor Arrivals by Country of Residence 2017</t>
  </si>
  <si>
    <t>Excursionist Arrivals by Country of Residence 2017</t>
  </si>
  <si>
    <t>Tourist Arrivals by Country of Residence 2017</t>
  </si>
  <si>
    <t>Cruise Ship Arrivals 2017</t>
  </si>
  <si>
    <t>Avg 2017</t>
  </si>
  <si>
    <t xml:space="preserve">2 Economic </t>
  </si>
  <si>
    <t>2.4 Sectoral Statistics</t>
  </si>
  <si>
    <t xml:space="preserve">2.4.5 Tourism Statistics </t>
  </si>
  <si>
    <t>Visitor, tourist, excursionist and passengers</t>
  </si>
  <si>
    <t xml:space="preserve">Year, month, Intended length of stay, country of residence and port of entry &amp; exit </t>
  </si>
  <si>
    <t>Units and percentage change (%)</t>
  </si>
  <si>
    <t>TOURISM 2018</t>
  </si>
  <si>
    <t>PASSENGER ARRIVALS BY AIR AND SEA 2018 (incl. visitor arrivals - Total)</t>
  </si>
  <si>
    <t>PASSENGER DEPARTURES BY AIR AND SEA 2018 (incl. visitor departures - Total)</t>
  </si>
  <si>
    <t>Tourism Summary 2018</t>
  </si>
  <si>
    <t>Visitor Arrivals 1993 - 2018</t>
  </si>
  <si>
    <t>Tourist Arrivals 1993 - 2018</t>
  </si>
  <si>
    <t>Excursionists Arrivals 1993 - 2018</t>
  </si>
  <si>
    <t>Passenger Arrivals 1993 - 2018</t>
  </si>
  <si>
    <t>Passenger Departures 1993-2018</t>
  </si>
  <si>
    <t>Visitor Arrivals by Country of Residence 2018</t>
  </si>
  <si>
    <t>Tourist Arrivals by Country of Residence 2018</t>
  </si>
  <si>
    <t>Excursionist Arrivals by Country of Residence 2018</t>
  </si>
  <si>
    <t>Visitor Arrivals by Country of Residence 2018/2016 percentage change</t>
  </si>
  <si>
    <t>Tourist Arrivals by Country of Residence 2018/2016 percentage change</t>
  </si>
  <si>
    <t>Excursionist Arrivals by Country of Residence 2018/2016 percentage change</t>
  </si>
  <si>
    <t>Tourist Arrivals by Length of Stay 2018</t>
  </si>
  <si>
    <t>Avg 2018</t>
  </si>
  <si>
    <t>Cruise Ship Passengers 2003 - 2018</t>
  </si>
  <si>
    <t>NUMBER OF PASSENGER AIRCRAFT AND BOATS ARRIVING AND DEPARTING: MONTHLY 2018</t>
  </si>
  <si>
    <t>Last Updated: August 21, 2018</t>
  </si>
  <si>
    <t>% Change 18/17</t>
  </si>
  <si>
    <t>Arrivals</t>
  </si>
  <si>
    <t>Departures</t>
  </si>
  <si>
    <t>Last Updated: April 5, 2018</t>
  </si>
  <si>
    <t>PASSENGER PER VESSEL</t>
  </si>
  <si>
    <t>VOYAGES PER VESSEL</t>
  </si>
  <si>
    <t>REGULAR VESSELS</t>
  </si>
  <si>
    <t>CHEERS II</t>
  </si>
  <si>
    <t>DELUXE</t>
  </si>
  <si>
    <t>DIAMOND FERRIES</t>
  </si>
  <si>
    <t>EXCELLENCE</t>
  </si>
  <si>
    <t>H &amp; H CORPORATION</t>
  </si>
  <si>
    <t>JOSHLIN</t>
  </si>
  <si>
    <t>LADY MARIA</t>
  </si>
  <si>
    <t>SANDY ISLAND ENTERPRISES</t>
  </si>
  <si>
    <t>CHARTED BOATS</t>
  </si>
  <si>
    <t>CALYPSO CHARTERS</t>
  </si>
  <si>
    <t>FUNTIME CHARTERS</t>
  </si>
  <si>
    <t>GARFIELD'S SEA TOURS</t>
  </si>
  <si>
    <t>GB FERRIES</t>
  </si>
  <si>
    <t>LINK FERRIES</t>
  </si>
  <si>
    <t>SEA PRO CHARTERS</t>
  </si>
  <si>
    <t>OTHER</t>
  </si>
  <si>
    <t>ARRIVALS</t>
  </si>
  <si>
    <t>DEPARTURES</t>
  </si>
  <si>
    <t>GRAND TOTAL</t>
  </si>
  <si>
    <t xml:space="preserve">Last Updated: May  16,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</si>
</sst>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78" formatCode="0_)"/>
    <numFmt numFmtId="179" formatCode="0.00_)"/>
    <numFmt numFmtId="180" formatCode="0.0_)"/>
    <numFmt numFmtId="181" formatCode="0.0%"/>
    <numFmt numFmtId="182" formatCode="_(* #,##0.0_);_(* \(#,##0.0\);_(* &quot;-&quot;??_);_(@_)"/>
    <numFmt numFmtId="183" formatCode="_(* #,##0_);_(* \(#,##0\);_(* &quot;-&quot;??_);_(@_)"/>
    <numFmt numFmtId="187" formatCode="0.000_)"/>
    <numFmt numFmtId="190" formatCode="_(* #,##0.0000_);_(* \(#,##0.0000\);_(* &quot;-&quot;??_);_(@_)"/>
  </numFmts>
  <fonts count="58" x14ac:knownFonts="1">
    <font>
      <sz val="12"/>
      <name val="Helv"/>
    </font>
    <font>
      <sz val="10"/>
      <name val="Arial"/>
      <family val="2"/>
    </font>
    <font>
      <sz val="12"/>
      <name val="Helv"/>
    </font>
    <font>
      <b/>
      <sz val="12"/>
      <name val="Helv"/>
    </font>
    <font>
      <sz val="12"/>
      <color indexed="13"/>
      <name val="Helv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color indexed="1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  <font>
      <b/>
      <sz val="20"/>
      <name val="Tahoma"/>
      <family val="2"/>
    </font>
    <font>
      <sz val="12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Gill Sans MT"/>
      <family val="2"/>
    </font>
    <font>
      <b/>
      <sz val="10"/>
      <name val="Helv"/>
    </font>
    <font>
      <b/>
      <sz val="10"/>
      <name val="Arial"/>
      <family val="2"/>
    </font>
    <font>
      <sz val="10"/>
      <name val="Helv"/>
    </font>
    <font>
      <b/>
      <sz val="10"/>
      <name val="Gill Sans MT"/>
      <family val="2"/>
    </font>
    <font>
      <b/>
      <sz val="12"/>
      <color indexed="10"/>
      <name val="Times New Roman"/>
      <family val="1"/>
    </font>
    <font>
      <b/>
      <sz val="11"/>
      <name val="Cambria"/>
      <family val="1"/>
    </font>
    <font>
      <sz val="11"/>
      <name val="Cambria"/>
      <family val="1"/>
    </font>
    <font>
      <sz val="9"/>
      <name val="Helv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7" tint="-0.249977111117893"/>
      <name val="Helv"/>
    </font>
  </fonts>
  <fills count="52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178" fontId="0" fillId="0" borderId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42" fillId="38" borderId="0" applyNumberFormat="0" applyBorder="0" applyAlignment="0" applyProtection="0"/>
    <xf numFmtId="0" fontId="43" fillId="39" borderId="60" applyNumberFormat="0" applyAlignment="0" applyProtection="0"/>
    <xf numFmtId="0" fontId="44" fillId="40" borderId="6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1"/>
    <xf numFmtId="0" fontId="45" fillId="0" borderId="0" applyNumberFormat="0" applyFill="0" applyBorder="0" applyAlignment="0" applyProtection="0"/>
    <xf numFmtId="0" fontId="46" fillId="41" borderId="0" applyNumberFormat="0" applyBorder="0" applyAlignment="0" applyProtection="0"/>
    <xf numFmtId="0" fontId="47" fillId="0" borderId="62" applyNumberFormat="0" applyFill="0" applyAlignment="0" applyProtection="0"/>
    <xf numFmtId="0" fontId="48" fillId="0" borderId="63" applyNumberFormat="0" applyFill="0" applyAlignment="0" applyProtection="0"/>
    <xf numFmtId="0" fontId="49" fillId="0" borderId="64" applyNumberFormat="0" applyFill="0" applyAlignment="0" applyProtection="0"/>
    <xf numFmtId="0" fontId="49" fillId="0" borderId="0" applyNumberFormat="0" applyFill="0" applyBorder="0" applyAlignment="0" applyProtection="0"/>
    <xf numFmtId="0" fontId="50" fillId="42" borderId="60" applyNumberFormat="0" applyAlignment="0" applyProtection="0"/>
    <xf numFmtId="0" fontId="3" fillId="2" borderId="1"/>
    <xf numFmtId="0" fontId="51" fillId="0" borderId="65" applyNumberFormat="0" applyFill="0" applyAlignment="0" applyProtection="0"/>
    <xf numFmtId="0" fontId="52" fillId="43" borderId="0" applyNumberFormat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44" borderId="66" applyNumberFormat="0" applyFont="0" applyAlignment="0" applyProtection="0"/>
    <xf numFmtId="0" fontId="53" fillId="39" borderId="67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1"/>
    <xf numFmtId="0" fontId="54" fillId="0" borderId="0" applyNumberFormat="0" applyFill="0" applyBorder="0" applyAlignment="0" applyProtection="0"/>
    <xf numFmtId="0" fontId="4" fillId="3" borderId="0"/>
    <xf numFmtId="0" fontId="55" fillId="0" borderId="68" applyNumberFormat="0" applyFill="0" applyAlignment="0" applyProtection="0"/>
    <xf numFmtId="0" fontId="3" fillId="0" borderId="2"/>
    <xf numFmtId="0" fontId="3" fillId="0" borderId="1"/>
    <xf numFmtId="0" fontId="56" fillId="0" borderId="0" applyNumberFormat="0" applyFill="0" applyBorder="0" applyAlignment="0" applyProtection="0"/>
  </cellStyleXfs>
  <cellXfs count="369">
    <xf numFmtId="178" fontId="0" fillId="0" borderId="0" xfId="0"/>
    <xf numFmtId="178" fontId="5" fillId="0" borderId="0" xfId="0" applyFont="1" applyFill="1" applyBorder="1"/>
    <xf numFmtId="178" fontId="5" fillId="0" borderId="0" xfId="0" applyFont="1" applyFill="1" applyBorder="1" applyAlignment="1">
      <alignment horizontal="left"/>
    </xf>
    <xf numFmtId="181" fontId="6" fillId="0" borderId="0" xfId="47" applyNumberFormat="1" applyFont="1" applyFill="1" applyBorder="1"/>
    <xf numFmtId="178" fontId="6" fillId="0" borderId="0" xfId="0" applyFont="1" applyFill="1" applyBorder="1"/>
    <xf numFmtId="178" fontId="6" fillId="0" borderId="0" xfId="0" applyFont="1" applyFill="1" applyBorder="1" applyAlignment="1">
      <alignment horizontal="right"/>
    </xf>
    <xf numFmtId="9" fontId="6" fillId="0" borderId="0" xfId="47" applyFont="1" applyFill="1" applyBorder="1"/>
    <xf numFmtId="187" fontId="6" fillId="0" borderId="0" xfId="0" applyNumberFormat="1" applyFont="1" applyFill="1" applyBorder="1" applyAlignment="1">
      <alignment horizontal="right"/>
    </xf>
    <xf numFmtId="179" fontId="6" fillId="0" borderId="0" xfId="0" applyNumberFormat="1" applyFont="1" applyFill="1" applyBorder="1" applyAlignment="1">
      <alignment horizontal="right"/>
    </xf>
    <xf numFmtId="178" fontId="5" fillId="0" borderId="0" xfId="0" applyFont="1" applyFill="1" applyBorder="1" applyAlignment="1">
      <alignment horizontal="center" wrapText="1"/>
    </xf>
    <xf numFmtId="178" fontId="5" fillId="0" borderId="0" xfId="0" applyFont="1" applyFill="1" applyBorder="1" applyAlignment="1">
      <alignment horizontal="center"/>
    </xf>
    <xf numFmtId="181" fontId="6" fillId="0" borderId="0" xfId="47" applyNumberFormat="1" applyFont="1" applyFill="1" applyBorder="1" applyAlignment="1">
      <alignment horizontal="center"/>
    </xf>
    <xf numFmtId="178" fontId="6" fillId="0" borderId="0" xfId="0" applyFont="1" applyFill="1" applyBorder="1" applyAlignment="1">
      <alignment horizontal="center"/>
    </xf>
    <xf numFmtId="9" fontId="6" fillId="0" borderId="0" xfId="47" applyFont="1" applyFill="1" applyBorder="1" applyAlignment="1">
      <alignment horizontal="center"/>
    </xf>
    <xf numFmtId="181" fontId="6" fillId="0" borderId="0" xfId="47" applyNumberFormat="1" applyFont="1" applyFill="1" applyBorder="1" applyAlignment="1">
      <alignment horizontal="right"/>
    </xf>
    <xf numFmtId="183" fontId="6" fillId="0" borderId="0" xfId="28" applyNumberFormat="1" applyFont="1" applyFill="1" applyBorder="1" applyAlignment="1">
      <alignment horizontal="right"/>
    </xf>
    <xf numFmtId="181" fontId="6" fillId="0" borderId="0" xfId="47" applyNumberFormat="1" applyFont="1" applyFill="1" applyBorder="1" applyAlignment="1"/>
    <xf numFmtId="9" fontId="6" fillId="0" borderId="0" xfId="47" applyNumberFormat="1" applyFont="1" applyFill="1" applyBorder="1" applyAlignment="1">
      <alignment horizontal="center"/>
    </xf>
    <xf numFmtId="178" fontId="6" fillId="0" borderId="0" xfId="0" applyFont="1" applyBorder="1" applyAlignment="1">
      <alignment horizontal="right"/>
    </xf>
    <xf numFmtId="178" fontId="6" fillId="0" borderId="0" xfId="0" applyFont="1" applyBorder="1"/>
    <xf numFmtId="178" fontId="8" fillId="0" borderId="0" xfId="0" applyFont="1" applyFill="1" applyBorder="1"/>
    <xf numFmtId="183" fontId="5" fillId="0" borderId="0" xfId="28" applyNumberFormat="1" applyFont="1" applyFill="1" applyBorder="1" applyAlignment="1">
      <alignment horizontal="center"/>
    </xf>
    <xf numFmtId="181" fontId="5" fillId="0" borderId="0" xfId="0" applyNumberFormat="1" applyFont="1" applyFill="1" applyBorder="1" applyAlignment="1">
      <alignment horizontal="center"/>
    </xf>
    <xf numFmtId="183" fontId="5" fillId="0" borderId="0" xfId="28" applyNumberFormat="1" applyFont="1" applyFill="1" applyBorder="1" applyAlignment="1">
      <alignment horizontal="right"/>
    </xf>
    <xf numFmtId="183" fontId="6" fillId="0" borderId="0" xfId="28" applyNumberFormat="1" applyFont="1" applyFill="1" applyBorder="1" applyAlignment="1">
      <alignment horizontal="center"/>
    </xf>
    <xf numFmtId="0" fontId="6" fillId="0" borderId="0" xfId="47" applyNumberFormat="1" applyFont="1" applyFill="1" applyBorder="1"/>
    <xf numFmtId="181" fontId="6" fillId="0" borderId="0" xfId="47" applyNumberFormat="1" applyFont="1" applyBorder="1"/>
    <xf numFmtId="183" fontId="5" fillId="0" borderId="0" xfId="28" applyNumberFormat="1" applyFont="1" applyFill="1" applyBorder="1"/>
    <xf numFmtId="10" fontId="5" fillId="0" borderId="0" xfId="47" applyNumberFormat="1" applyFont="1" applyFill="1" applyBorder="1" applyAlignment="1">
      <alignment horizontal="center"/>
    </xf>
    <xf numFmtId="178" fontId="12" fillId="0" borderId="0" xfId="42" applyNumberFormat="1" applyFont="1"/>
    <xf numFmtId="178" fontId="12" fillId="0" borderId="0" xfId="42" applyNumberFormat="1" applyFont="1" applyBorder="1"/>
    <xf numFmtId="178" fontId="12" fillId="0" borderId="0" xfId="42" applyNumberFormat="1" applyFont="1" applyFill="1" applyBorder="1"/>
    <xf numFmtId="181" fontId="12" fillId="0" borderId="0" xfId="48" applyNumberFormat="1" applyFont="1"/>
    <xf numFmtId="178" fontId="14" fillId="0" borderId="0" xfId="42" applyNumberFormat="1" applyFont="1"/>
    <xf numFmtId="178" fontId="14" fillId="0" borderId="0" xfId="42" applyNumberFormat="1" applyFont="1" applyBorder="1"/>
    <xf numFmtId="178" fontId="14" fillId="0" borderId="0" xfId="42" applyNumberFormat="1" applyFont="1" applyFill="1" applyBorder="1"/>
    <xf numFmtId="178" fontId="12" fillId="0" borderId="3" xfId="42" applyNumberFormat="1" applyFont="1" applyBorder="1" applyAlignment="1">
      <alignment horizontal="left"/>
    </xf>
    <xf numFmtId="178" fontId="15" fillId="0" borderId="4" xfId="42" applyNumberFormat="1" applyFont="1" applyBorder="1" applyAlignment="1" applyProtection="1">
      <alignment horizontal="center"/>
    </xf>
    <xf numFmtId="178" fontId="15" fillId="0" borderId="5" xfId="42" applyNumberFormat="1" applyFont="1" applyBorder="1" applyAlignment="1" applyProtection="1">
      <alignment horizontal="center"/>
    </xf>
    <xf numFmtId="178" fontId="15" fillId="0" borderId="6" xfId="42" applyNumberFormat="1" applyFont="1" applyBorder="1" applyAlignment="1" applyProtection="1">
      <alignment horizontal="left"/>
    </xf>
    <xf numFmtId="183" fontId="16" fillId="0" borderId="7" xfId="29" applyNumberFormat="1" applyFont="1" applyBorder="1" applyProtection="1"/>
    <xf numFmtId="183" fontId="15" fillId="0" borderId="7" xfId="29" applyNumberFormat="1" applyFont="1" applyBorder="1" applyProtection="1"/>
    <xf numFmtId="183" fontId="15" fillId="0" borderId="8" xfId="29" applyNumberFormat="1" applyFont="1" applyBorder="1" applyProtection="1"/>
    <xf numFmtId="178" fontId="15" fillId="0" borderId="9" xfId="42" applyNumberFormat="1" applyFont="1" applyBorder="1" applyAlignment="1" applyProtection="1">
      <alignment horizontal="left"/>
    </xf>
    <xf numFmtId="183" fontId="16" fillId="0" borderId="1" xfId="29" applyNumberFormat="1" applyFont="1" applyBorder="1" applyProtection="1"/>
    <xf numFmtId="183" fontId="15" fillId="0" borderId="1" xfId="29" applyNumberFormat="1" applyFont="1" applyBorder="1" applyProtection="1"/>
    <xf numFmtId="183" fontId="15" fillId="0" borderId="10" xfId="29" applyNumberFormat="1" applyFont="1" applyBorder="1" applyProtection="1"/>
    <xf numFmtId="178" fontId="15" fillId="0" borderId="9" xfId="42" applyNumberFormat="1" applyFont="1" applyBorder="1" applyAlignment="1" applyProtection="1"/>
    <xf numFmtId="181" fontId="15" fillId="0" borderId="0" xfId="48" applyNumberFormat="1" applyFont="1"/>
    <xf numFmtId="178" fontId="15" fillId="4" borderId="11" xfId="42" applyNumberFormat="1" applyFont="1" applyFill="1" applyBorder="1" applyAlignment="1" applyProtection="1"/>
    <xf numFmtId="183" fontId="15" fillId="4" borderId="12" xfId="29" applyNumberFormat="1" applyFont="1" applyFill="1" applyBorder="1" applyProtection="1"/>
    <xf numFmtId="183" fontId="15" fillId="4" borderId="13" xfId="29" applyNumberFormat="1" applyFont="1" applyFill="1" applyBorder="1" applyProtection="1"/>
    <xf numFmtId="178" fontId="15" fillId="0" borderId="14" xfId="42" applyNumberFormat="1" applyFont="1" applyBorder="1" applyAlignment="1" applyProtection="1">
      <alignment horizontal="left"/>
    </xf>
    <xf numFmtId="178" fontId="15" fillId="0" borderId="4" xfId="42" applyNumberFormat="1" applyFont="1" applyBorder="1" applyAlignment="1" applyProtection="1">
      <alignment horizontal="right"/>
    </xf>
    <xf numFmtId="2" fontId="12" fillId="0" borderId="0" xfId="42" applyNumberFormat="1" applyFont="1"/>
    <xf numFmtId="178" fontId="15" fillId="0" borderId="15" xfId="42" applyNumberFormat="1" applyFont="1" applyBorder="1" applyAlignment="1" applyProtection="1">
      <alignment horizontal="left"/>
    </xf>
    <xf numFmtId="183" fontId="16" fillId="0" borderId="16" xfId="29" applyNumberFormat="1" applyFont="1" applyBorder="1" applyProtection="1"/>
    <xf numFmtId="183" fontId="15" fillId="0" borderId="16" xfId="29" applyNumberFormat="1" applyFont="1" applyBorder="1" applyProtection="1"/>
    <xf numFmtId="183" fontId="15" fillId="0" borderId="17" xfId="29" applyNumberFormat="1" applyFont="1" applyBorder="1" applyProtection="1"/>
    <xf numFmtId="2" fontId="12" fillId="0" borderId="0" xfId="48" applyNumberFormat="1" applyFont="1"/>
    <xf numFmtId="178" fontId="15" fillId="4" borderId="18" xfId="42" applyNumberFormat="1" applyFont="1" applyFill="1" applyBorder="1" applyAlignment="1" applyProtection="1"/>
    <xf numFmtId="183" fontId="15" fillId="4" borderId="19" xfId="29" applyNumberFormat="1" applyFont="1" applyFill="1" applyBorder="1" applyProtection="1"/>
    <xf numFmtId="183" fontId="15" fillId="4" borderId="20" xfId="29" applyNumberFormat="1" applyFont="1" applyFill="1" applyBorder="1" applyProtection="1"/>
    <xf numFmtId="178" fontId="13" fillId="5" borderId="15" xfId="42" applyNumberFormat="1" applyFont="1" applyFill="1" applyBorder="1" applyAlignment="1" applyProtection="1">
      <alignment horizontal="left"/>
    </xf>
    <xf numFmtId="178" fontId="14" fillId="5" borderId="21" xfId="42" applyNumberFormat="1" applyFont="1" applyFill="1" applyBorder="1"/>
    <xf numFmtId="178" fontId="14" fillId="5" borderId="22" xfId="42" applyNumberFormat="1" applyFont="1" applyFill="1" applyBorder="1"/>
    <xf numFmtId="178" fontId="13" fillId="5" borderId="11" xfId="42" applyNumberFormat="1" applyFont="1" applyFill="1" applyBorder="1" applyAlignment="1" applyProtection="1">
      <alignment horizontal="left"/>
    </xf>
    <xf numFmtId="178" fontId="14" fillId="5" borderId="0" xfId="42" applyNumberFormat="1" applyFont="1" applyFill="1" applyBorder="1"/>
    <xf numFmtId="178" fontId="14" fillId="5" borderId="23" xfId="42" applyNumberFormat="1" applyFont="1" applyFill="1" applyBorder="1"/>
    <xf numFmtId="178" fontId="15" fillId="0" borderId="5" xfId="42" applyNumberFormat="1" applyFont="1" applyBorder="1" applyAlignment="1" applyProtection="1">
      <alignment horizontal="right"/>
    </xf>
    <xf numFmtId="181" fontId="12" fillId="0" borderId="0" xfId="47" applyNumberFormat="1" applyFont="1"/>
    <xf numFmtId="178" fontId="13" fillId="5" borderId="24" xfId="42" applyNumberFormat="1" applyFont="1" applyFill="1" applyBorder="1" applyAlignment="1" applyProtection="1">
      <alignment horizontal="left"/>
    </xf>
    <xf numFmtId="178" fontId="17" fillId="0" borderId="5" xfId="42" applyNumberFormat="1" applyFont="1" applyBorder="1" applyAlignment="1" applyProtection="1">
      <alignment horizontal="right"/>
    </xf>
    <xf numFmtId="178" fontId="16" fillId="0" borderId="7" xfId="42" applyNumberFormat="1" applyFont="1" applyBorder="1" applyProtection="1"/>
    <xf numFmtId="178" fontId="15" fillId="0" borderId="7" xfId="42" applyNumberFormat="1" applyFont="1" applyBorder="1" applyProtection="1"/>
    <xf numFmtId="178" fontId="15" fillId="0" borderId="8" xfId="42" applyNumberFormat="1" applyFont="1" applyBorder="1" applyProtection="1"/>
    <xf numFmtId="178" fontId="16" fillId="0" borderId="1" xfId="42" applyNumberFormat="1" applyFont="1" applyBorder="1" applyProtection="1"/>
    <xf numFmtId="178" fontId="15" fillId="0" borderId="1" xfId="42" applyNumberFormat="1" applyFont="1" applyBorder="1" applyProtection="1"/>
    <xf numFmtId="178" fontId="15" fillId="0" borderId="10" xfId="42" applyNumberFormat="1" applyFont="1" applyBorder="1" applyProtection="1"/>
    <xf numFmtId="178" fontId="15" fillId="4" borderId="19" xfId="42" applyNumberFormat="1" applyFont="1" applyFill="1" applyBorder="1" applyProtection="1"/>
    <xf numFmtId="178" fontId="13" fillId="5" borderId="24" xfId="42" applyNumberFormat="1" applyFont="1" applyFill="1" applyBorder="1" applyProtection="1"/>
    <xf numFmtId="178" fontId="17" fillId="0" borderId="14" xfId="42" applyNumberFormat="1" applyFont="1" applyBorder="1" applyProtection="1"/>
    <xf numFmtId="178" fontId="17" fillId="0" borderId="4" xfId="42" applyNumberFormat="1" applyFont="1" applyBorder="1" applyAlignment="1" applyProtection="1">
      <alignment horizontal="right"/>
    </xf>
    <xf numFmtId="178" fontId="18" fillId="5" borderId="24" xfId="42" applyNumberFormat="1" applyFont="1" applyFill="1" applyBorder="1" applyProtection="1"/>
    <xf numFmtId="178" fontId="12" fillId="5" borderId="21" xfId="42" applyNumberFormat="1" applyFont="1" applyFill="1" applyBorder="1"/>
    <xf numFmtId="178" fontId="12" fillId="5" borderId="22" xfId="42" applyNumberFormat="1" applyFont="1" applyFill="1" applyBorder="1"/>
    <xf numFmtId="178" fontId="19" fillId="0" borderId="14" xfId="42" applyNumberFormat="1" applyFont="1" applyBorder="1" applyProtection="1"/>
    <xf numFmtId="178" fontId="17" fillId="0" borderId="0" xfId="42" applyNumberFormat="1" applyFont="1" applyFill="1" applyBorder="1" applyAlignment="1" applyProtection="1">
      <alignment horizontal="right"/>
    </xf>
    <xf numFmtId="178" fontId="16" fillId="0" borderId="0" xfId="42" applyNumberFormat="1" applyFont="1" applyFill="1" applyBorder="1" applyProtection="1"/>
    <xf numFmtId="181" fontId="16" fillId="0" borderId="0" xfId="47" applyNumberFormat="1" applyFont="1" applyFill="1" applyBorder="1" applyProtection="1"/>
    <xf numFmtId="181" fontId="16" fillId="0" borderId="0" xfId="48" applyNumberFormat="1" applyFont="1" applyFill="1" applyBorder="1" applyProtection="1"/>
    <xf numFmtId="183" fontId="16" fillId="0" borderId="0" xfId="48" applyNumberFormat="1" applyFont="1" applyFill="1" applyBorder="1" applyProtection="1"/>
    <xf numFmtId="183" fontId="16" fillId="0" borderId="0" xfId="29" applyNumberFormat="1" applyFont="1" applyFill="1" applyBorder="1" applyProtection="1"/>
    <xf numFmtId="190" fontId="16" fillId="0" borderId="0" xfId="29" applyNumberFormat="1" applyFont="1" applyFill="1" applyBorder="1" applyProtection="1"/>
    <xf numFmtId="178" fontId="12" fillId="5" borderId="25" xfId="42" applyNumberFormat="1" applyFont="1" applyFill="1" applyBorder="1" applyProtection="1"/>
    <xf numFmtId="178" fontId="12" fillId="5" borderId="26" xfId="42" applyNumberFormat="1" applyFont="1" applyFill="1" applyBorder="1" applyProtection="1"/>
    <xf numFmtId="178" fontId="12" fillId="5" borderId="27" xfId="42" applyNumberFormat="1" applyFont="1" applyFill="1" applyBorder="1" applyProtection="1"/>
    <xf numFmtId="178" fontId="12" fillId="0" borderId="0" xfId="42" applyNumberFormat="1" applyFont="1" applyFill="1" applyBorder="1" applyProtection="1"/>
    <xf numFmtId="178" fontId="16" fillId="0" borderId="14" xfId="42" applyNumberFormat="1" applyFont="1" applyBorder="1" applyProtection="1"/>
    <xf numFmtId="178" fontId="15" fillId="0" borderId="28" xfId="42" applyNumberFormat="1" applyFont="1" applyBorder="1" applyAlignment="1" applyProtection="1">
      <alignment horizontal="right"/>
    </xf>
    <xf numFmtId="178" fontId="15" fillId="0" borderId="29" xfId="42" applyNumberFormat="1" applyFont="1" applyBorder="1" applyAlignment="1" applyProtection="1">
      <alignment horizontal="right"/>
    </xf>
    <xf numFmtId="178" fontId="16" fillId="0" borderId="0" xfId="42" applyNumberFormat="1" applyFont="1"/>
    <xf numFmtId="178" fontId="16" fillId="0" borderId="0" xfId="42" applyNumberFormat="1" applyFont="1" applyBorder="1"/>
    <xf numFmtId="178" fontId="16" fillId="0" borderId="0" xfId="42" applyNumberFormat="1" applyFont="1" applyFill="1" applyBorder="1"/>
    <xf numFmtId="178" fontId="17" fillId="6" borderId="6" xfId="42" applyNumberFormat="1" applyFont="1" applyFill="1" applyBorder="1" applyProtection="1"/>
    <xf numFmtId="179" fontId="19" fillId="0" borderId="7" xfId="42" applyNumberFormat="1" applyFont="1" applyBorder="1" applyProtection="1"/>
    <xf numFmtId="178" fontId="19" fillId="0" borderId="7" xfId="42" applyNumberFormat="1" applyFont="1" applyBorder="1" applyProtection="1"/>
    <xf numFmtId="178" fontId="19" fillId="0" borderId="30" xfId="42" applyNumberFormat="1" applyFont="1" applyBorder="1" applyProtection="1"/>
    <xf numFmtId="178" fontId="19" fillId="0" borderId="31" xfId="42" applyNumberFormat="1" applyFont="1" applyBorder="1" applyProtection="1"/>
    <xf numFmtId="178" fontId="19" fillId="0" borderId="0" xfId="42" applyNumberFormat="1" applyFont="1" applyFill="1" applyBorder="1" applyProtection="1"/>
    <xf numFmtId="178" fontId="17" fillId="0" borderId="9" xfId="42" applyNumberFormat="1" applyFont="1" applyBorder="1" applyProtection="1"/>
    <xf numFmtId="183" fontId="16" fillId="0" borderId="32" xfId="29" applyNumberFormat="1" applyFont="1" applyBorder="1" applyProtection="1"/>
    <xf numFmtId="183" fontId="15" fillId="0" borderId="33" xfId="29" applyNumberFormat="1" applyFont="1" applyBorder="1" applyProtection="1"/>
    <xf numFmtId="178" fontId="16" fillId="0" borderId="32" xfId="42" applyNumberFormat="1" applyFont="1" applyBorder="1" applyProtection="1"/>
    <xf numFmtId="183" fontId="15" fillId="0" borderId="33" xfId="29" applyNumberFormat="1" applyFont="1" applyBorder="1" applyAlignment="1" applyProtection="1">
      <alignment horizontal="right"/>
    </xf>
    <xf numFmtId="178" fontId="17" fillId="7" borderId="9" xfId="42" applyNumberFormat="1" applyFont="1" applyFill="1" applyBorder="1" applyProtection="1"/>
    <xf numFmtId="183" fontId="15" fillId="7" borderId="1" xfId="29" applyNumberFormat="1" applyFont="1" applyFill="1" applyBorder="1" applyProtection="1"/>
    <xf numFmtId="183" fontId="15" fillId="7" borderId="32" xfId="29" applyNumberFormat="1" applyFont="1" applyFill="1" applyBorder="1" applyProtection="1"/>
    <xf numFmtId="183" fontId="15" fillId="7" borderId="33" xfId="29" applyNumberFormat="1" applyFont="1" applyFill="1" applyBorder="1" applyProtection="1"/>
    <xf numFmtId="178" fontId="17" fillId="0" borderId="0" xfId="42" applyNumberFormat="1" applyFont="1" applyFill="1" applyBorder="1" applyProtection="1"/>
    <xf numFmtId="178" fontId="17" fillId="6" borderId="9" xfId="42" applyNumberFormat="1" applyFont="1" applyFill="1" applyBorder="1" applyProtection="1"/>
    <xf numFmtId="181" fontId="17" fillId="0" borderId="1" xfId="48" applyNumberFormat="1" applyFont="1" applyBorder="1" applyProtection="1"/>
    <xf numFmtId="0" fontId="17" fillId="0" borderId="1" xfId="48" applyNumberFormat="1" applyFont="1" applyBorder="1" applyProtection="1"/>
    <xf numFmtId="183" fontId="17" fillId="0" borderId="33" xfId="29" applyNumberFormat="1" applyFont="1" applyBorder="1" applyProtection="1"/>
    <xf numFmtId="178" fontId="15" fillId="0" borderId="32" xfId="42" applyNumberFormat="1" applyFont="1" applyBorder="1" applyProtection="1"/>
    <xf numFmtId="178" fontId="15" fillId="6" borderId="1" xfId="42" applyNumberFormat="1" applyFont="1" applyFill="1" applyBorder="1" applyProtection="1"/>
    <xf numFmtId="178" fontId="15" fillId="6" borderId="32" xfId="42" applyNumberFormat="1" applyFont="1" applyFill="1" applyBorder="1" applyProtection="1"/>
    <xf numFmtId="183" fontId="15" fillId="6" borderId="33" xfId="29" applyNumberFormat="1" applyFont="1" applyFill="1" applyBorder="1" applyProtection="1"/>
    <xf numFmtId="183" fontId="15" fillId="0" borderId="32" xfId="29" applyNumberFormat="1" applyFont="1" applyBorder="1" applyProtection="1"/>
    <xf numFmtId="178" fontId="18" fillId="0" borderId="0" xfId="42" applyNumberFormat="1" applyFont="1"/>
    <xf numFmtId="178" fontId="18" fillId="0" borderId="0" xfId="42" applyNumberFormat="1" applyFont="1" applyBorder="1"/>
    <xf numFmtId="178" fontId="18" fillId="0" borderId="0" xfId="42" applyNumberFormat="1" applyFont="1" applyFill="1" applyBorder="1"/>
    <xf numFmtId="178" fontId="17" fillId="8" borderId="9" xfId="42" applyNumberFormat="1" applyFont="1" applyFill="1" applyBorder="1" applyProtection="1"/>
    <xf numFmtId="178" fontId="15" fillId="8" borderId="1" xfId="42" applyNumberFormat="1" applyFont="1" applyFill="1" applyBorder="1" applyProtection="1"/>
    <xf numFmtId="178" fontId="15" fillId="8" borderId="32" xfId="42" applyNumberFormat="1" applyFont="1" applyFill="1" applyBorder="1" applyProtection="1"/>
    <xf numFmtId="182" fontId="15" fillId="8" borderId="33" xfId="29" applyNumberFormat="1" applyFont="1" applyFill="1" applyBorder="1" applyProtection="1"/>
    <xf numFmtId="178" fontId="17" fillId="0" borderId="1" xfId="42" applyNumberFormat="1" applyFont="1" applyBorder="1" applyProtection="1"/>
    <xf numFmtId="178" fontId="17" fillId="0" borderId="32" xfId="42" applyNumberFormat="1" applyFont="1" applyBorder="1" applyProtection="1"/>
    <xf numFmtId="178" fontId="14" fillId="0" borderId="1" xfId="42" applyNumberFormat="1" applyFont="1" applyBorder="1" applyProtection="1"/>
    <xf numFmtId="178" fontId="14" fillId="0" borderId="32" xfId="42" applyNumberFormat="1" applyFont="1" applyBorder="1" applyProtection="1"/>
    <xf numFmtId="178" fontId="15" fillId="6" borderId="33" xfId="42" applyNumberFormat="1" applyFont="1" applyFill="1" applyBorder="1" applyProtection="1"/>
    <xf numFmtId="180" fontId="15" fillId="8" borderId="33" xfId="42" applyNumberFormat="1" applyFont="1" applyFill="1" applyBorder="1" applyProtection="1"/>
    <xf numFmtId="180" fontId="17" fillId="0" borderId="0" xfId="42" applyNumberFormat="1" applyFont="1" applyFill="1" applyBorder="1" applyProtection="1"/>
    <xf numFmtId="178" fontId="17" fillId="0" borderId="0" xfId="42" applyNumberFormat="1" applyFont="1" applyBorder="1" applyProtection="1"/>
    <xf numFmtId="180" fontId="17" fillId="0" borderId="0" xfId="42" applyNumberFormat="1" applyFont="1" applyBorder="1" applyProtection="1"/>
    <xf numFmtId="178" fontId="12" fillId="5" borderId="34" xfId="42" applyNumberFormat="1" applyFont="1" applyFill="1" applyBorder="1" applyProtection="1"/>
    <xf numFmtId="178" fontId="19" fillId="0" borderId="14" xfId="42" applyNumberFormat="1" applyFont="1" applyBorder="1" applyAlignment="1" applyProtection="1">
      <alignment horizontal="center"/>
    </xf>
    <xf numFmtId="178" fontId="17" fillId="0" borderId="4" xfId="42" applyNumberFormat="1" applyFont="1" applyBorder="1" applyAlignment="1" applyProtection="1">
      <alignment horizontal="center"/>
    </xf>
    <xf numFmtId="178" fontId="17" fillId="0" borderId="5" xfId="42" applyNumberFormat="1" applyFont="1" applyBorder="1" applyAlignment="1" applyProtection="1">
      <alignment horizontal="center"/>
    </xf>
    <xf numFmtId="178" fontId="12" fillId="0" borderId="0" xfId="42" applyNumberFormat="1" applyFont="1" applyFill="1" applyBorder="1" applyAlignment="1">
      <alignment horizontal="center"/>
    </xf>
    <xf numFmtId="178" fontId="17" fillId="6" borderId="15" xfId="42" applyNumberFormat="1" applyFont="1" applyFill="1" applyBorder="1" applyProtection="1"/>
    <xf numFmtId="0" fontId="17" fillId="0" borderId="16" xfId="42" applyNumberFormat="1" applyFont="1" applyBorder="1" applyProtection="1"/>
    <xf numFmtId="178" fontId="17" fillId="0" borderId="17" xfId="42" applyNumberFormat="1" applyFont="1" applyBorder="1" applyProtection="1"/>
    <xf numFmtId="0" fontId="16" fillId="0" borderId="1" xfId="29" applyNumberFormat="1" applyFont="1" applyBorder="1" applyProtection="1"/>
    <xf numFmtId="178" fontId="17" fillId="9" borderId="9" xfId="42" applyNumberFormat="1" applyFont="1" applyFill="1" applyBorder="1" applyProtection="1"/>
    <xf numFmtId="183" fontId="15" fillId="9" borderId="1" xfId="29" applyNumberFormat="1" applyFont="1" applyFill="1" applyBorder="1" applyProtection="1"/>
    <xf numFmtId="0" fontId="15" fillId="9" borderId="1" xfId="29" applyNumberFormat="1" applyFont="1" applyFill="1" applyBorder="1" applyProtection="1"/>
    <xf numFmtId="183" fontId="15" fillId="9" borderId="10" xfId="29" applyNumberFormat="1" applyFont="1" applyFill="1" applyBorder="1" applyProtection="1"/>
    <xf numFmtId="0" fontId="15" fillId="0" borderId="1" xfId="29" applyNumberFormat="1" applyFont="1" applyBorder="1" applyProtection="1"/>
    <xf numFmtId="178" fontId="15" fillId="0" borderId="0" xfId="42" applyNumberFormat="1" applyFont="1" applyFill="1" applyBorder="1" applyProtection="1"/>
    <xf numFmtId="178" fontId="17" fillId="9" borderId="18" xfId="42" applyNumberFormat="1" applyFont="1" applyFill="1" applyBorder="1" applyProtection="1"/>
    <xf numFmtId="183" fontId="15" fillId="9" borderId="20" xfId="29" applyNumberFormat="1" applyFont="1" applyFill="1" applyBorder="1" applyProtection="1"/>
    <xf numFmtId="178" fontId="19" fillId="0" borderId="0" xfId="42" applyNumberFormat="1" applyFont="1" applyBorder="1" applyAlignment="1" applyProtection="1">
      <alignment horizontal="fill"/>
    </xf>
    <xf numFmtId="0" fontId="16" fillId="0" borderId="0" xfId="42" applyNumberFormat="1" applyFont="1" applyBorder="1" applyAlignment="1" applyProtection="1">
      <alignment horizontal="fill"/>
    </xf>
    <xf numFmtId="0" fontId="19" fillId="0" borderId="0" xfId="42" applyNumberFormat="1" applyFont="1" applyBorder="1" applyAlignment="1" applyProtection="1">
      <alignment horizontal="fill"/>
    </xf>
    <xf numFmtId="178" fontId="18" fillId="5" borderId="14" xfId="42" applyNumberFormat="1" applyFont="1" applyFill="1" applyBorder="1" applyProtection="1"/>
    <xf numFmtId="0" fontId="12" fillId="5" borderId="4" xfId="42" applyNumberFormat="1" applyFont="1" applyFill="1" applyBorder="1" applyProtection="1"/>
    <xf numFmtId="178" fontId="12" fillId="5" borderId="5" xfId="42" applyNumberFormat="1" applyFont="1" applyFill="1" applyBorder="1" applyProtection="1"/>
    <xf numFmtId="178" fontId="19" fillId="0" borderId="35" xfId="42" applyNumberFormat="1" applyFont="1" applyBorder="1" applyAlignment="1" applyProtection="1">
      <alignment horizontal="center"/>
    </xf>
    <xf numFmtId="0" fontId="17" fillId="0" borderId="36" xfId="42" applyNumberFormat="1" applyFont="1" applyBorder="1" applyAlignment="1" applyProtection="1">
      <alignment horizontal="center"/>
    </xf>
    <xf numFmtId="178" fontId="17" fillId="0" borderId="36" xfId="42" applyNumberFormat="1" applyFont="1" applyBorder="1" applyAlignment="1" applyProtection="1">
      <alignment horizontal="center"/>
    </xf>
    <xf numFmtId="178" fontId="17" fillId="0" borderId="37" xfId="42" applyNumberFormat="1" applyFont="1" applyBorder="1" applyAlignment="1" applyProtection="1">
      <alignment horizontal="center"/>
    </xf>
    <xf numFmtId="178" fontId="19" fillId="0" borderId="0" xfId="42" applyNumberFormat="1" applyFont="1" applyBorder="1" applyProtection="1"/>
    <xf numFmtId="0" fontId="16" fillId="0" borderId="0" xfId="42" applyNumberFormat="1" applyFont="1" applyBorder="1" applyProtection="1"/>
    <xf numFmtId="0" fontId="19" fillId="0" borderId="0" xfId="42" applyNumberFormat="1" applyFont="1" applyBorder="1" applyProtection="1"/>
    <xf numFmtId="0" fontId="17" fillId="0" borderId="4" xfId="42" applyNumberFormat="1" applyFont="1" applyBorder="1" applyAlignment="1" applyProtection="1">
      <alignment horizontal="center"/>
    </xf>
    <xf numFmtId="3" fontId="15" fillId="0" borderId="7" xfId="42" applyNumberFormat="1" applyFont="1" applyBorder="1" applyProtection="1"/>
    <xf numFmtId="3" fontId="17" fillId="0" borderId="7" xfId="42" applyNumberFormat="1" applyFont="1" applyBorder="1" applyProtection="1"/>
    <xf numFmtId="3" fontId="17" fillId="0" borderId="8" xfId="42" applyNumberFormat="1" applyFont="1" applyBorder="1" applyProtection="1"/>
    <xf numFmtId="3" fontId="16" fillId="0" borderId="1" xfId="29" applyNumberFormat="1" applyFont="1" applyBorder="1" applyProtection="1"/>
    <xf numFmtId="3" fontId="15" fillId="0" borderId="10" xfId="29" applyNumberFormat="1" applyFont="1" applyBorder="1" applyProtection="1"/>
    <xf numFmtId="183" fontId="12" fillId="0" borderId="0" xfId="29" applyNumberFormat="1" applyFont="1" applyFill="1" applyBorder="1"/>
    <xf numFmtId="3" fontId="15" fillId="9" borderId="1" xfId="29" applyNumberFormat="1" applyFont="1" applyFill="1" applyBorder="1" applyProtection="1"/>
    <xf numFmtId="3" fontId="17" fillId="9" borderId="1" xfId="29" applyNumberFormat="1" applyFont="1" applyFill="1" applyBorder="1" applyProtection="1"/>
    <xf numFmtId="3" fontId="15" fillId="9" borderId="10" xfId="29" applyNumberFormat="1" applyFont="1" applyFill="1" applyBorder="1" applyProtection="1"/>
    <xf numFmtId="3" fontId="15" fillId="0" borderId="1" xfId="29" applyNumberFormat="1" applyFont="1" applyBorder="1" applyProtection="1"/>
    <xf numFmtId="3" fontId="17" fillId="0" borderId="1" xfId="29" applyNumberFormat="1" applyFont="1" applyBorder="1" applyProtection="1"/>
    <xf numFmtId="3" fontId="19" fillId="0" borderId="1" xfId="29" applyNumberFormat="1" applyFont="1" applyBorder="1" applyProtection="1"/>
    <xf numFmtId="3" fontId="17" fillId="0" borderId="10" xfId="29" applyNumberFormat="1" applyFont="1" applyBorder="1" applyProtection="1"/>
    <xf numFmtId="3" fontId="16" fillId="0" borderId="1" xfId="29" applyNumberFormat="1" applyFont="1" applyFill="1" applyBorder="1" applyProtection="1"/>
    <xf numFmtId="3" fontId="16" fillId="0" borderId="10" xfId="29" applyNumberFormat="1" applyFont="1" applyBorder="1" applyProtection="1"/>
    <xf numFmtId="3" fontId="15" fillId="9" borderId="19" xfId="29" applyNumberFormat="1" applyFont="1" applyFill="1" applyBorder="1" applyProtection="1"/>
    <xf numFmtId="3" fontId="15" fillId="9" borderId="20" xfId="29" applyNumberFormat="1" applyFont="1" applyFill="1" applyBorder="1" applyProtection="1"/>
    <xf numFmtId="178" fontId="18" fillId="6" borderId="3" xfId="42" applyNumberFormat="1" applyFont="1" applyFill="1" applyBorder="1" applyAlignment="1">
      <alignment horizontal="left"/>
    </xf>
    <xf numFmtId="178" fontId="18" fillId="6" borderId="38" xfId="42" applyNumberFormat="1" applyFont="1" applyFill="1" applyBorder="1"/>
    <xf numFmtId="178" fontId="18" fillId="6" borderId="39" xfId="42" applyNumberFormat="1" applyFont="1" applyFill="1" applyBorder="1"/>
    <xf numFmtId="178" fontId="12" fillId="0" borderId="0" xfId="42" applyNumberFormat="1" applyFont="1" applyAlignment="1">
      <alignment horizontal="left"/>
    </xf>
    <xf numFmtId="0" fontId="12" fillId="0" borderId="0" xfId="42" applyNumberFormat="1" applyFont="1"/>
    <xf numFmtId="178" fontId="18" fillId="0" borderId="0" xfId="42" applyNumberFormat="1" applyFont="1" applyAlignment="1">
      <alignment horizontal="left"/>
    </xf>
    <xf numFmtId="178" fontId="22" fillId="0" borderId="0" xfId="0" applyFont="1"/>
    <xf numFmtId="178" fontId="9" fillId="0" borderId="40" xfId="0" applyFont="1" applyBorder="1" applyAlignment="1">
      <alignment horizontal="center"/>
    </xf>
    <xf numFmtId="178" fontId="9" fillId="0" borderId="21" xfId="0" applyFont="1" applyBorder="1" applyAlignment="1">
      <alignment horizontal="center"/>
    </xf>
    <xf numFmtId="178" fontId="9" fillId="0" borderId="22" xfId="0" applyFont="1" applyBorder="1" applyAlignment="1">
      <alignment horizontal="center"/>
    </xf>
    <xf numFmtId="178" fontId="9" fillId="0" borderId="41" xfId="0" applyFont="1" applyBorder="1" applyAlignment="1">
      <alignment horizontal="center"/>
    </xf>
    <xf numFmtId="178" fontId="9" fillId="0" borderId="41" xfId="0" applyFont="1" applyBorder="1"/>
    <xf numFmtId="178" fontId="22" fillId="0" borderId="40" xfId="0" applyFont="1" applyBorder="1"/>
    <xf numFmtId="178" fontId="22" fillId="0" borderId="21" xfId="0" applyFont="1" applyBorder="1"/>
    <xf numFmtId="178" fontId="22" fillId="0" borderId="41" xfId="0" applyFont="1" applyBorder="1"/>
    <xf numFmtId="178" fontId="9" fillId="0" borderId="42" xfId="0" applyFont="1" applyBorder="1"/>
    <xf numFmtId="178" fontId="22" fillId="0" borderId="43" xfId="0" applyFont="1" applyBorder="1"/>
    <xf numFmtId="178" fontId="22" fillId="0" borderId="0" xfId="0" applyFont="1" applyBorder="1"/>
    <xf numFmtId="178" fontId="22" fillId="0" borderId="42" xfId="0" applyFont="1" applyBorder="1"/>
    <xf numFmtId="178" fontId="9" fillId="0" borderId="44" xfId="0" applyFont="1" applyBorder="1" applyAlignment="1">
      <alignment wrapText="1"/>
    </xf>
    <xf numFmtId="178" fontId="22" fillId="0" borderId="45" xfId="0" applyFont="1" applyBorder="1"/>
    <xf numFmtId="178" fontId="22" fillId="0" borderId="46" xfId="0" applyFont="1" applyBorder="1"/>
    <xf numFmtId="178" fontId="22" fillId="0" borderId="44" xfId="0" applyFont="1" applyBorder="1"/>
    <xf numFmtId="178" fontId="22" fillId="0" borderId="22" xfId="0" applyFont="1" applyBorder="1"/>
    <xf numFmtId="178" fontId="22" fillId="0" borderId="23" xfId="0" applyFont="1" applyBorder="1"/>
    <xf numFmtId="178" fontId="22" fillId="0" borderId="47" xfId="0" applyFont="1" applyBorder="1"/>
    <xf numFmtId="0" fontId="6" fillId="0" borderId="0" xfId="0" applyNumberFormat="1" applyFont="1" applyFill="1" applyBorder="1"/>
    <xf numFmtId="0" fontId="6" fillId="0" borderId="0" xfId="28" applyNumberFormat="1" applyFont="1" applyFill="1" applyBorder="1"/>
    <xf numFmtId="0" fontId="6" fillId="0" borderId="0" xfId="28" applyNumberFormat="1" applyFont="1" applyBorder="1"/>
    <xf numFmtId="178" fontId="5" fillId="0" borderId="0" xfId="0" applyFont="1" applyAlignment="1"/>
    <xf numFmtId="178" fontId="6" fillId="0" borderId="0" xfId="0" applyFont="1"/>
    <xf numFmtId="178" fontId="5" fillId="0" borderId="3" xfId="0" applyFont="1" applyBorder="1" applyAlignment="1">
      <alignment horizontal="center"/>
    </xf>
    <xf numFmtId="178" fontId="5" fillId="0" borderId="48" xfId="0" applyFont="1" applyBorder="1" applyAlignment="1">
      <alignment horizontal="center"/>
    </xf>
    <xf numFmtId="178" fontId="5" fillId="0" borderId="48" xfId="0" applyFont="1" applyBorder="1" applyAlignment="1">
      <alignment horizontal="center" wrapText="1"/>
    </xf>
    <xf numFmtId="178" fontId="6" fillId="0" borderId="0" xfId="0" applyFont="1" applyBorder="1" applyAlignment="1">
      <alignment wrapText="1"/>
    </xf>
    <xf numFmtId="178" fontId="5" fillId="0" borderId="43" xfId="0" applyFont="1" applyBorder="1"/>
    <xf numFmtId="178" fontId="6" fillId="0" borderId="42" xfId="0" applyFont="1" applyBorder="1" applyAlignment="1">
      <alignment horizontal="center"/>
    </xf>
    <xf numFmtId="178" fontId="5" fillId="0" borderId="42" xfId="0" applyFont="1" applyBorder="1"/>
    <xf numFmtId="178" fontId="6" fillId="0" borderId="42" xfId="0" applyFont="1" applyFill="1" applyBorder="1" applyAlignment="1">
      <alignment horizontal="center"/>
    </xf>
    <xf numFmtId="0" fontId="6" fillId="0" borderId="42" xfId="28" applyNumberFormat="1" applyFont="1" applyFill="1" applyBorder="1" applyAlignment="1">
      <alignment horizontal="center"/>
    </xf>
    <xf numFmtId="178" fontId="5" fillId="0" borderId="3" xfId="0" applyFont="1" applyBorder="1"/>
    <xf numFmtId="0" fontId="5" fillId="0" borderId="48" xfId="28" applyNumberFormat="1" applyFont="1" applyBorder="1" applyAlignment="1">
      <alignment horizontal="center"/>
    </xf>
    <xf numFmtId="178" fontId="5" fillId="0" borderId="0" xfId="0" applyFont="1" applyBorder="1"/>
    <xf numFmtId="178" fontId="5" fillId="0" borderId="48" xfId="0" applyFont="1" applyBorder="1"/>
    <xf numFmtId="178" fontId="5" fillId="0" borderId="3" xfId="0" applyFont="1" applyFill="1" applyBorder="1"/>
    <xf numFmtId="178" fontId="5" fillId="0" borderId="38" xfId="0" applyFont="1" applyBorder="1" applyAlignment="1">
      <alignment horizontal="center"/>
    </xf>
    <xf numFmtId="178" fontId="5" fillId="0" borderId="0" xfId="0" applyFont="1"/>
    <xf numFmtId="178" fontId="5" fillId="10" borderId="43" xfId="0" applyFont="1" applyFill="1" applyBorder="1"/>
    <xf numFmtId="178" fontId="5" fillId="10" borderId="42" xfId="0" applyFont="1" applyFill="1" applyBorder="1" applyAlignment="1">
      <alignment horizontal="center"/>
    </xf>
    <xf numFmtId="178" fontId="5" fillId="10" borderId="42" xfId="0" applyNumberFormat="1" applyFont="1" applyFill="1" applyBorder="1" applyAlignment="1">
      <alignment horizontal="center"/>
    </xf>
    <xf numFmtId="178" fontId="24" fillId="0" borderId="0" xfId="0" applyFont="1"/>
    <xf numFmtId="0" fontId="26" fillId="0" borderId="48" xfId="0" applyNumberFormat="1" applyFont="1" applyFill="1" applyBorder="1" applyAlignment="1">
      <alignment horizontal="center" wrapText="1"/>
    </xf>
    <xf numFmtId="178" fontId="27" fillId="0" borderId="41" xfId="0" applyFont="1" applyBorder="1" applyAlignment="1">
      <alignment horizontal="left" indent="1"/>
    </xf>
    <xf numFmtId="3" fontId="1" fillId="0" borderId="41" xfId="28" applyNumberFormat="1" applyFont="1" applyFill="1" applyBorder="1" applyAlignment="1">
      <alignment horizontal="right" indent="1"/>
    </xf>
    <xf numFmtId="178" fontId="27" fillId="0" borderId="42" xfId="0" applyFont="1" applyBorder="1" applyAlignment="1">
      <alignment horizontal="left" indent="1"/>
    </xf>
    <xf numFmtId="3" fontId="1" fillId="0" borderId="42" xfId="28" applyNumberFormat="1" applyFont="1" applyFill="1" applyBorder="1" applyAlignment="1">
      <alignment horizontal="right" indent="1"/>
    </xf>
    <xf numFmtId="178" fontId="27" fillId="0" borderId="44" xfId="0" applyFont="1" applyBorder="1" applyAlignment="1">
      <alignment horizontal="left" indent="1"/>
    </xf>
    <xf numFmtId="3" fontId="1" fillId="0" borderId="44" xfId="28" applyNumberFormat="1" applyFont="1" applyFill="1" applyBorder="1" applyAlignment="1">
      <alignment horizontal="right" indent="1"/>
    </xf>
    <xf numFmtId="178" fontId="57" fillId="0" borderId="48" xfId="0" applyFont="1" applyBorder="1" applyAlignment="1">
      <alignment horizontal="left" indent="1"/>
    </xf>
    <xf numFmtId="3" fontId="26" fillId="0" borderId="48" xfId="28" applyNumberFormat="1" applyFont="1" applyFill="1" applyBorder="1" applyAlignment="1">
      <alignment horizontal="right" indent="1"/>
    </xf>
    <xf numFmtId="178" fontId="28" fillId="0" borderId="0" xfId="42" applyNumberFormat="1" applyFont="1" applyAlignment="1">
      <alignment horizontal="left"/>
    </xf>
    <xf numFmtId="178" fontId="5" fillId="45" borderId="43" xfId="0" applyFont="1" applyFill="1" applyBorder="1"/>
    <xf numFmtId="178" fontId="5" fillId="45" borderId="42" xfId="0" applyFont="1" applyFill="1" applyBorder="1" applyAlignment="1">
      <alignment horizontal="center"/>
    </xf>
    <xf numFmtId="43" fontId="6" fillId="0" borderId="0" xfId="28" applyFont="1" applyFill="1" applyBorder="1" applyAlignment="1">
      <alignment horizontal="center"/>
    </xf>
    <xf numFmtId="181" fontId="14" fillId="0" borderId="0" xfId="47" applyNumberFormat="1" applyFont="1"/>
    <xf numFmtId="178" fontId="0" fillId="0" borderId="0" xfId="0" applyBorder="1"/>
    <xf numFmtId="178" fontId="7" fillId="0" borderId="49" xfId="0" applyFont="1" applyFill="1" applyBorder="1" applyAlignment="1"/>
    <xf numFmtId="178" fontId="30" fillId="0" borderId="0" xfId="0" applyFont="1" applyBorder="1" applyAlignment="1"/>
    <xf numFmtId="178" fontId="31" fillId="0" borderId="0" xfId="0" applyFont="1" applyBorder="1" applyAlignment="1"/>
    <xf numFmtId="178" fontId="31" fillId="0" borderId="0" xfId="0" applyFont="1" applyFill="1" applyBorder="1"/>
    <xf numFmtId="178" fontId="32" fillId="0" borderId="0" xfId="0" applyFont="1" applyBorder="1" applyAlignment="1">
      <alignment wrapText="1"/>
    </xf>
    <xf numFmtId="178" fontId="33" fillId="0" borderId="50" xfId="0" applyFont="1" applyFill="1" applyBorder="1" applyAlignment="1">
      <alignment wrapText="1"/>
    </xf>
    <xf numFmtId="178" fontId="33" fillId="0" borderId="51" xfId="0" applyFont="1" applyFill="1" applyBorder="1" applyAlignment="1">
      <alignment horizontal="center" wrapText="1"/>
    </xf>
    <xf numFmtId="0" fontId="33" fillId="0" borderId="51" xfId="28" applyNumberFormat="1" applyFont="1" applyBorder="1" applyAlignment="1">
      <alignment horizontal="center" wrapText="1"/>
    </xf>
    <xf numFmtId="181" fontId="33" fillId="0" borderId="50" xfId="0" applyNumberFormat="1" applyFont="1" applyFill="1" applyBorder="1" applyAlignment="1">
      <alignment horizontal="center" wrapText="1"/>
    </xf>
    <xf numFmtId="178" fontId="33" fillId="0" borderId="0" xfId="0" applyFont="1" applyFill="1" applyBorder="1" applyAlignment="1">
      <alignment horizontal="left"/>
    </xf>
    <xf numFmtId="183" fontId="34" fillId="0" borderId="51" xfId="28" applyNumberFormat="1" applyFont="1" applyFill="1" applyBorder="1" applyAlignment="1">
      <alignment horizontal="center"/>
    </xf>
    <xf numFmtId="183" fontId="34" fillId="0" borderId="51" xfId="28" applyNumberFormat="1" applyFont="1" applyFill="1" applyBorder="1"/>
    <xf numFmtId="183" fontId="34" fillId="0" borderId="51" xfId="28" applyNumberFormat="1" applyFont="1" applyBorder="1"/>
    <xf numFmtId="183" fontId="34" fillId="0" borderId="51" xfId="28" applyNumberFormat="1" applyFont="1" applyBorder="1" applyAlignment="1">
      <alignment horizontal="right"/>
    </xf>
    <xf numFmtId="183" fontId="34" fillId="0" borderId="51" xfId="28" applyNumberFormat="1" applyFont="1" applyFill="1" applyBorder="1" applyAlignment="1">
      <alignment horizontal="right"/>
    </xf>
    <xf numFmtId="183" fontId="34" fillId="0" borderId="0" xfId="28" applyNumberFormat="1" applyFont="1" applyFill="1" applyBorder="1" applyAlignment="1">
      <alignment horizontal="center"/>
    </xf>
    <xf numFmtId="183" fontId="34" fillId="0" borderId="0" xfId="28" applyNumberFormat="1" applyFont="1" applyFill="1" applyBorder="1"/>
    <xf numFmtId="183" fontId="34" fillId="0" borderId="0" xfId="28" applyNumberFormat="1" applyFont="1" applyBorder="1"/>
    <xf numFmtId="183" fontId="34" fillId="0" borderId="0" xfId="28" applyNumberFormat="1" applyFont="1" applyBorder="1" applyAlignment="1">
      <alignment horizontal="right"/>
    </xf>
    <xf numFmtId="183" fontId="34" fillId="0" borderId="0" xfId="28" applyNumberFormat="1" applyFont="1" applyFill="1" applyBorder="1" applyAlignment="1">
      <alignment horizontal="right"/>
    </xf>
    <xf numFmtId="181" fontId="34" fillId="0" borderId="0" xfId="47" applyNumberFormat="1" applyFont="1" applyFill="1" applyBorder="1" applyAlignment="1">
      <alignment horizontal="right"/>
    </xf>
    <xf numFmtId="178" fontId="33" fillId="10" borderId="0" xfId="0" applyFont="1" applyFill="1" applyBorder="1" applyAlignment="1">
      <alignment horizontal="left"/>
    </xf>
    <xf numFmtId="183" fontId="35" fillId="10" borderId="0" xfId="28" applyNumberFormat="1" applyFont="1" applyFill="1" applyBorder="1" applyAlignment="1">
      <alignment horizontal="center"/>
    </xf>
    <xf numFmtId="181" fontId="35" fillId="10" borderId="0" xfId="47" applyNumberFormat="1" applyFont="1" applyFill="1" applyBorder="1" applyAlignment="1">
      <alignment horizontal="right"/>
    </xf>
    <xf numFmtId="181" fontId="35" fillId="10" borderId="0" xfId="47" applyNumberFormat="1" applyFont="1" applyFill="1" applyBorder="1" applyAlignment="1">
      <alignment horizontal="center"/>
    </xf>
    <xf numFmtId="178" fontId="33" fillId="11" borderId="46" xfId="0" applyFont="1" applyFill="1" applyBorder="1"/>
    <xf numFmtId="183" fontId="35" fillId="11" borderId="46" xfId="28" applyNumberFormat="1" applyFont="1" applyFill="1" applyBorder="1" applyAlignment="1">
      <alignment horizontal="center"/>
    </xf>
    <xf numFmtId="181" fontId="35" fillId="11" borderId="46" xfId="47" applyNumberFormat="1" applyFont="1" applyFill="1" applyBorder="1" applyAlignment="1">
      <alignment horizontal="center"/>
    </xf>
    <xf numFmtId="178" fontId="29" fillId="0" borderId="49" xfId="0" applyFont="1" applyFill="1" applyBorder="1" applyAlignment="1"/>
    <xf numFmtId="181" fontId="34" fillId="0" borderId="51" xfId="47" applyNumberFormat="1" applyFont="1" applyFill="1" applyBorder="1"/>
    <xf numFmtId="181" fontId="34" fillId="0" borderId="0" xfId="47" applyNumberFormat="1" applyFont="1" applyFill="1" applyBorder="1"/>
    <xf numFmtId="182" fontId="34" fillId="0" borderId="51" xfId="28" applyNumberFormat="1" applyFont="1" applyBorder="1"/>
    <xf numFmtId="182" fontId="34" fillId="0" borderId="51" xfId="28" applyNumberFormat="1" applyFont="1" applyFill="1" applyBorder="1"/>
    <xf numFmtId="182" fontId="34" fillId="0" borderId="51" xfId="28" applyNumberFormat="1" applyFont="1" applyBorder="1" applyAlignment="1">
      <alignment horizontal="right"/>
    </xf>
    <xf numFmtId="182" fontId="34" fillId="0" borderId="0" xfId="28" applyNumberFormat="1" applyFont="1" applyBorder="1"/>
    <xf numFmtId="182" fontId="34" fillId="0" borderId="0" xfId="28" applyNumberFormat="1" applyFont="1" applyFill="1" applyBorder="1"/>
    <xf numFmtId="182" fontId="34" fillId="0" borderId="0" xfId="28" applyNumberFormat="1" applyFont="1" applyBorder="1" applyAlignment="1">
      <alignment horizontal="right"/>
    </xf>
    <xf numFmtId="182" fontId="35" fillId="10" borderId="0" xfId="28" applyNumberFormat="1" applyFont="1" applyFill="1" applyBorder="1" applyAlignment="1">
      <alignment horizontal="center"/>
    </xf>
    <xf numFmtId="43" fontId="6" fillId="0" borderId="0" xfId="28" applyFont="1" applyFill="1" applyBorder="1"/>
    <xf numFmtId="182" fontId="35" fillId="11" borderId="46" xfId="28" applyNumberFormat="1" applyFont="1" applyFill="1" applyBorder="1" applyAlignment="1">
      <alignment horizontal="center"/>
    </xf>
    <xf numFmtId="178" fontId="27" fillId="0" borderId="0" xfId="0" applyFont="1" applyBorder="1"/>
    <xf numFmtId="178" fontId="37" fillId="0" borderId="0" xfId="0" applyFont="1" applyFill="1" applyBorder="1" applyAlignment="1">
      <alignment horizontal="center"/>
    </xf>
    <xf numFmtId="178" fontId="37" fillId="0" borderId="0" xfId="0" applyFont="1" applyFill="1" applyBorder="1" applyAlignment="1"/>
    <xf numFmtId="178" fontId="36" fillId="0" borderId="0" xfId="0" applyFont="1" applyFill="1" applyBorder="1" applyAlignment="1">
      <alignment horizontal="left"/>
    </xf>
    <xf numFmtId="178" fontId="37" fillId="0" borderId="0" xfId="0" applyFont="1" applyFill="1" applyBorder="1"/>
    <xf numFmtId="178" fontId="0" fillId="0" borderId="0" xfId="0" applyBorder="1" applyAlignment="1">
      <alignment wrapText="1"/>
    </xf>
    <xf numFmtId="178" fontId="6" fillId="0" borderId="0" xfId="0" applyFont="1" applyFill="1" applyBorder="1" applyAlignment="1">
      <alignment wrapText="1"/>
    </xf>
    <xf numFmtId="178" fontId="5" fillId="0" borderId="0" xfId="0" applyFont="1" applyFill="1" applyBorder="1" applyAlignment="1">
      <alignment horizontal="left" wrapText="1"/>
    </xf>
    <xf numFmtId="183" fontId="34" fillId="0" borderId="0" xfId="28" applyNumberFormat="1" applyFont="1" applyFill="1" applyBorder="1" applyAlignment="1">
      <alignment horizontal="left"/>
    </xf>
    <xf numFmtId="183" fontId="35" fillId="0" borderId="0" xfId="28" applyNumberFormat="1" applyFont="1" applyFill="1" applyBorder="1" applyAlignment="1">
      <alignment horizontal="left"/>
    </xf>
    <xf numFmtId="183" fontId="35" fillId="6" borderId="52" xfId="28" applyNumberFormat="1" applyFont="1" applyFill="1" applyBorder="1" applyAlignment="1">
      <alignment horizontal="left"/>
    </xf>
    <xf numFmtId="183" fontId="34" fillId="0" borderId="53" xfId="28" applyNumberFormat="1" applyFont="1" applyFill="1" applyBorder="1" applyAlignment="1">
      <alignment horizontal="left"/>
    </xf>
    <xf numFmtId="183" fontId="35" fillId="6" borderId="0" xfId="28" applyNumberFormat="1" applyFont="1" applyFill="1" applyBorder="1" applyAlignment="1">
      <alignment horizontal="left"/>
    </xf>
    <xf numFmtId="183" fontId="35" fillId="10" borderId="0" xfId="28" applyNumberFormat="1" applyFont="1" applyFill="1" applyBorder="1" applyAlignment="1">
      <alignment horizontal="left"/>
    </xf>
    <xf numFmtId="183" fontId="35" fillId="10" borderId="52" xfId="28" applyNumberFormat="1" applyFont="1" applyFill="1" applyBorder="1" applyAlignment="1">
      <alignment horizontal="left"/>
    </xf>
    <xf numFmtId="183" fontId="35" fillId="10" borderId="53" xfId="28" applyNumberFormat="1" applyFont="1" applyFill="1" applyBorder="1" applyAlignment="1">
      <alignment horizontal="left"/>
    </xf>
    <xf numFmtId="178" fontId="33" fillId="11" borderId="46" xfId="0" applyFont="1" applyFill="1" applyBorder="1" applyAlignment="1">
      <alignment horizontal="left"/>
    </xf>
    <xf numFmtId="183" fontId="35" fillId="11" borderId="46" xfId="28" applyNumberFormat="1" applyFont="1" applyFill="1" applyBorder="1" applyAlignment="1">
      <alignment horizontal="left"/>
    </xf>
    <xf numFmtId="183" fontId="35" fillId="12" borderId="54" xfId="28" applyNumberFormat="1" applyFont="1" applyFill="1" applyBorder="1" applyAlignment="1">
      <alignment horizontal="left"/>
    </xf>
    <xf numFmtId="183" fontId="35" fillId="11" borderId="55" xfId="28" applyNumberFormat="1" applyFont="1" applyFill="1" applyBorder="1" applyAlignment="1">
      <alignment horizontal="left"/>
    </xf>
    <xf numFmtId="183" fontId="35" fillId="12" borderId="46" xfId="28" applyNumberFormat="1" applyFont="1" applyFill="1" applyBorder="1" applyAlignment="1">
      <alignment horizontal="left"/>
    </xf>
    <xf numFmtId="178" fontId="33" fillId="0" borderId="51" xfId="0" applyFont="1" applyFill="1" applyBorder="1" applyAlignment="1">
      <alignment horizontal="left" wrapText="1"/>
    </xf>
    <xf numFmtId="178" fontId="33" fillId="6" borderId="56" xfId="0" applyFont="1" applyFill="1" applyBorder="1" applyAlignment="1">
      <alignment horizontal="center" wrapText="1"/>
    </xf>
    <xf numFmtId="178" fontId="33" fillId="0" borderId="57" xfId="0" applyFont="1" applyFill="1" applyBorder="1" applyAlignment="1">
      <alignment horizontal="center" wrapText="1"/>
    </xf>
    <xf numFmtId="178" fontId="33" fillId="6" borderId="51" xfId="0" applyFont="1" applyFill="1" applyBorder="1" applyAlignment="1">
      <alignment horizontal="center" wrapText="1"/>
    </xf>
    <xf numFmtId="181" fontId="35" fillId="11" borderId="46" xfId="47" applyNumberFormat="1" applyFont="1" applyFill="1" applyBorder="1" applyAlignment="1">
      <alignment horizontal="right"/>
    </xf>
    <xf numFmtId="0" fontId="40" fillId="0" borderId="0" xfId="44"/>
    <xf numFmtId="183" fontId="16" fillId="0" borderId="0" xfId="29" applyNumberFormat="1" applyFont="1" applyFill="1" applyBorder="1"/>
    <xf numFmtId="178" fontId="16" fillId="0" borderId="1" xfId="43" applyNumberFormat="1" applyFont="1" applyBorder="1" applyProtection="1"/>
    <xf numFmtId="183" fontId="16" fillId="0" borderId="1" xfId="29" applyNumberFormat="1" applyFont="1" applyFill="1" applyBorder="1" applyProtection="1"/>
    <xf numFmtId="43" fontId="0" fillId="0" borderId="0" xfId="28" applyFont="1" applyBorder="1"/>
    <xf numFmtId="178" fontId="25" fillId="46" borderId="42" xfId="0" applyFont="1" applyFill="1" applyBorder="1" applyAlignment="1">
      <alignment horizontal="center"/>
    </xf>
    <xf numFmtId="0" fontId="26" fillId="0" borderId="40" xfId="0" applyNumberFormat="1" applyFont="1" applyFill="1" applyBorder="1" applyAlignment="1">
      <alignment horizontal="center" wrapText="1"/>
    </xf>
    <xf numFmtId="178" fontId="0" fillId="47" borderId="0" xfId="0" applyFill="1"/>
    <xf numFmtId="178" fontId="0" fillId="47" borderId="0" xfId="0" applyFill="1" applyAlignment="1">
      <alignment horizontal="center"/>
    </xf>
    <xf numFmtId="178" fontId="0" fillId="48" borderId="0" xfId="0" applyFill="1"/>
    <xf numFmtId="178" fontId="3" fillId="48" borderId="0" xfId="0" applyFont="1" applyFill="1"/>
    <xf numFmtId="178" fontId="3" fillId="49" borderId="0" xfId="0" applyFont="1" applyFill="1"/>
    <xf numFmtId="178" fontId="0" fillId="47" borderId="0" xfId="0" applyFill="1" applyAlignment="1">
      <alignment horizontal="left"/>
    </xf>
    <xf numFmtId="17" fontId="3" fillId="0" borderId="0" xfId="0" applyNumberFormat="1" applyFont="1"/>
    <xf numFmtId="178" fontId="11" fillId="10" borderId="3" xfId="42" applyNumberFormat="1" applyFont="1" applyFill="1" applyBorder="1" applyAlignment="1">
      <alignment horizontal="center"/>
    </xf>
    <xf numFmtId="178" fontId="11" fillId="10" borderId="38" xfId="42" applyNumberFormat="1" applyFont="1" applyFill="1" applyBorder="1" applyAlignment="1">
      <alignment horizontal="center"/>
    </xf>
    <xf numFmtId="178" fontId="11" fillId="10" borderId="39" xfId="42" applyNumberFormat="1" applyFont="1" applyFill="1" applyBorder="1" applyAlignment="1">
      <alignment horizontal="center"/>
    </xf>
    <xf numFmtId="178" fontId="13" fillId="5" borderId="3" xfId="42" applyNumberFormat="1" applyFont="1" applyFill="1" applyBorder="1" applyAlignment="1" applyProtection="1">
      <alignment horizontal="left"/>
    </xf>
    <xf numFmtId="178" fontId="13" fillId="5" borderId="38" xfId="42" applyNumberFormat="1" applyFont="1" applyFill="1" applyBorder="1" applyAlignment="1" applyProtection="1">
      <alignment horizontal="left"/>
    </xf>
    <xf numFmtId="178" fontId="13" fillId="5" borderId="39" xfId="42" applyNumberFormat="1" applyFont="1" applyFill="1" applyBorder="1" applyAlignment="1" applyProtection="1">
      <alignment horizontal="left"/>
    </xf>
    <xf numFmtId="178" fontId="15" fillId="8" borderId="32" xfId="42" applyNumberFormat="1" applyFont="1" applyFill="1" applyBorder="1" applyAlignment="1" applyProtection="1">
      <alignment horizontal="left"/>
    </xf>
    <xf numFmtId="178" fontId="15" fillId="8" borderId="58" xfId="42" applyNumberFormat="1" applyFont="1" applyFill="1" applyBorder="1" applyAlignment="1" applyProtection="1">
      <alignment horizontal="left"/>
    </xf>
    <xf numFmtId="178" fontId="15" fillId="8" borderId="59" xfId="42" applyNumberFormat="1" applyFont="1" applyFill="1" applyBorder="1" applyAlignment="1" applyProtection="1">
      <alignment horizontal="left"/>
    </xf>
    <xf numFmtId="178" fontId="29" fillId="0" borderId="49" xfId="0" applyFont="1" applyFill="1" applyBorder="1" applyAlignment="1">
      <alignment horizontal="left"/>
    </xf>
    <xf numFmtId="178" fontId="36" fillId="4" borderId="51" xfId="0" applyFont="1" applyFill="1" applyBorder="1" applyAlignment="1">
      <alignment horizontal="center"/>
    </xf>
    <xf numFmtId="178" fontId="36" fillId="4" borderId="56" xfId="0" applyFont="1" applyFill="1" applyBorder="1" applyAlignment="1">
      <alignment horizontal="center"/>
    </xf>
    <xf numFmtId="178" fontId="36" fillId="13" borderId="57" xfId="0" applyFont="1" applyFill="1" applyBorder="1" applyAlignment="1">
      <alignment horizontal="center"/>
    </xf>
    <xf numFmtId="178" fontId="36" fillId="13" borderId="51" xfId="0" applyFont="1" applyFill="1" applyBorder="1" applyAlignment="1">
      <alignment horizontal="center"/>
    </xf>
    <xf numFmtId="178" fontId="36" fillId="13" borderId="56" xfId="0" applyFont="1" applyFill="1" applyBorder="1" applyAlignment="1">
      <alignment horizontal="center"/>
    </xf>
    <xf numFmtId="178" fontId="36" fillId="7" borderId="51" xfId="0" applyFont="1" applyFill="1" applyBorder="1" applyAlignment="1">
      <alignment horizontal="center"/>
    </xf>
    <xf numFmtId="178" fontId="5" fillId="50" borderId="0" xfId="0" applyFont="1" applyFill="1" applyAlignment="1">
      <alignment horizontal="center"/>
    </xf>
    <xf numFmtId="178" fontId="23" fillId="0" borderId="0" xfId="0" applyFont="1" applyAlignment="1">
      <alignment horizontal="center"/>
    </xf>
    <xf numFmtId="178" fontId="5" fillId="0" borderId="0" xfId="0" applyFont="1" applyFill="1" applyBorder="1" applyAlignment="1">
      <alignment horizontal="left"/>
    </xf>
    <xf numFmtId="178" fontId="9" fillId="0" borderId="41" xfId="0" applyFont="1" applyBorder="1" applyAlignment="1">
      <alignment horizontal="center" vertical="center" textRotation="42"/>
    </xf>
    <xf numFmtId="178" fontId="9" fillId="0" borderId="42" xfId="0" applyFont="1" applyBorder="1" applyAlignment="1">
      <alignment horizontal="center" vertical="center" textRotation="42"/>
    </xf>
    <xf numFmtId="178" fontId="9" fillId="0" borderId="44" xfId="0" applyFont="1" applyBorder="1" applyAlignment="1">
      <alignment horizontal="center" vertical="center" textRotation="42"/>
    </xf>
    <xf numFmtId="178" fontId="9" fillId="0" borderId="0" xfId="0" applyFont="1" applyAlignment="1">
      <alignment horizontal="center"/>
    </xf>
    <xf numFmtId="178" fontId="25" fillId="46" borderId="41" xfId="0" applyFont="1" applyFill="1" applyBorder="1" applyAlignment="1">
      <alignment horizontal="center"/>
    </xf>
    <xf numFmtId="178" fontId="25" fillId="46" borderId="44" xfId="0" applyFont="1" applyFill="1" applyBorder="1" applyAlignment="1">
      <alignment horizontal="center"/>
    </xf>
    <xf numFmtId="0" fontId="26" fillId="0" borderId="3" xfId="0" applyNumberFormat="1" applyFont="1" applyFill="1" applyBorder="1" applyAlignment="1">
      <alignment horizontal="center" wrapText="1"/>
    </xf>
    <xf numFmtId="0" fontId="26" fillId="0" borderId="39" xfId="0" applyNumberFormat="1" applyFont="1" applyFill="1" applyBorder="1" applyAlignment="1">
      <alignment horizontal="center" wrapText="1"/>
    </xf>
    <xf numFmtId="0" fontId="26" fillId="51" borderId="45" xfId="0" applyNumberFormat="1" applyFont="1" applyFill="1" applyBorder="1" applyAlignment="1">
      <alignment horizontal="center"/>
    </xf>
    <xf numFmtId="0" fontId="26" fillId="51" borderId="46" xfId="0" applyNumberFormat="1" applyFont="1" applyFill="1" applyBorder="1" applyAlignment="1">
      <alignment horizontal="center"/>
    </xf>
    <xf numFmtId="178" fontId="3" fillId="0" borderId="0" xfId="0" applyFont="1" applyAlignment="1">
      <alignment horizontal="center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Custom - Style1" xfId="30"/>
    <cellStyle name="Data   - Style2" xfId="3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abels - Style3" xfId="39"/>
    <cellStyle name="Linked Cell" xfId="40" builtinId="24" customBuiltin="1"/>
    <cellStyle name="Neutral" xfId="41" builtinId="28" customBuiltin="1"/>
    <cellStyle name="Normal" xfId="0" builtinId="0"/>
    <cellStyle name="Normal 2" xfId="42"/>
    <cellStyle name="Normal 2 2" xfId="43"/>
    <cellStyle name="Normal 3" xfId="44"/>
    <cellStyle name="Note 2" xfId="45"/>
    <cellStyle name="Output" xfId="46" builtinId="21" customBuiltin="1"/>
    <cellStyle name="Percent" xfId="47" builtinId="5"/>
    <cellStyle name="Percent 2" xfId="48"/>
    <cellStyle name="Reset  - Style4" xfId="49"/>
    <cellStyle name="Table  - Style5" xfId="50"/>
    <cellStyle name="Title" xfId="51" builtinId="15" customBuiltin="1"/>
    <cellStyle name="Title  - Style6" xfId="52"/>
    <cellStyle name="Total" xfId="53" builtinId="25" customBuiltin="1"/>
    <cellStyle name="TotCol - Style7" xfId="54"/>
    <cellStyle name="TotRow - Style8" xfId="55"/>
    <cellStyle name="Warning Text" xfId="5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gov-file-2\statistics$\Tourism\Monthly%20Tourism%20Data%20Files\2006\TOURISM%20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ourism\Monthly%20Tourism%20Data%20Files\2015\TOURISM%20201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main%202%20-%20Economic%20Statistics\2.4%20Sectoral%20Statistics\2.4.5%20Tourism\Monthly%20Tourism%20Data%20Files\2017\TOURISM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gov-file-2\statistics$\Tourism\Monthly%20Tourism%20Data%20Files\2007\TOURISM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gov-file-2\statistics$\Tourism\Monthly%20Tourism%20Data%20Files\2008\TOURISM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gov-file-2\statistics$\Tourism\Monthly%20Tourism%20Data%20Files\2009\TOURISM%20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gov-file-2\statistics$\Tourism\Monthly%20Tourism%20Data%20Files\2010\TOURISM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gov-file-2\statistics$\Tourism\Monthly%20Tourism%20Data%20Files\2011\TOURISM%2020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gov-file-2\statistics$\Tourism\Monthly%20Tourism%20Data%20Files\2012\TOURISM%2020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gov-file-2\statistics$\Tourism\Monthly%20Tourism%20Data%20Files\2013\TOURISM%2020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ourism\Monthly%20Tourism%20Data%20Files\2014\TOURISM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summary"/>
      <sheetName val="cruise"/>
      <sheetName val="oth europe"/>
      <sheetName val="COPY RAW DATA"/>
      <sheetName val="Sheet1"/>
    </sheetNames>
    <sheetDataSet>
      <sheetData sheetId="0">
        <row r="105">
          <cell r="F105">
            <v>14010</v>
          </cell>
        </row>
      </sheetData>
      <sheetData sheetId="1">
        <row r="19">
          <cell r="O19">
            <v>16542</v>
          </cell>
        </row>
      </sheetData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Summary"/>
      <sheetName val="Cruise"/>
      <sheetName val="Cruise Ships"/>
      <sheetName val="Passenger Movement"/>
      <sheetName val="Sheet1"/>
      <sheetName val="Other Europe - Tourists"/>
    </sheetNames>
    <sheetDataSet>
      <sheetData sheetId="0">
        <row r="4">
          <cell r="B4">
            <v>2045</v>
          </cell>
        </row>
      </sheetData>
      <sheetData sheetId="1" refreshError="1">
        <row r="5">
          <cell r="X5">
            <v>19602</v>
          </cell>
        </row>
        <row r="26">
          <cell r="X26">
            <v>6758</v>
          </cell>
        </row>
        <row r="27">
          <cell r="X27">
            <v>7395</v>
          </cell>
        </row>
        <row r="28">
          <cell r="X28">
            <v>8683</v>
          </cell>
        </row>
        <row r="29">
          <cell r="X29">
            <v>22836</v>
          </cell>
        </row>
        <row r="30">
          <cell r="X30">
            <v>7667</v>
          </cell>
        </row>
        <row r="31">
          <cell r="X31">
            <v>5797</v>
          </cell>
        </row>
        <row r="32">
          <cell r="X32">
            <v>5055</v>
          </cell>
        </row>
        <row r="33">
          <cell r="X33">
            <v>18519</v>
          </cell>
        </row>
        <row r="34">
          <cell r="X34">
            <v>7532</v>
          </cell>
        </row>
        <row r="35">
          <cell r="X35">
            <v>5663</v>
          </cell>
        </row>
        <row r="36">
          <cell r="X36">
            <v>1564</v>
          </cell>
        </row>
        <row r="37">
          <cell r="X37">
            <v>14759</v>
          </cell>
        </row>
        <row r="38">
          <cell r="X38">
            <v>2841</v>
          </cell>
        </row>
        <row r="39">
          <cell r="X39">
            <v>5963</v>
          </cell>
        </row>
        <row r="40">
          <cell r="X40">
            <v>8314</v>
          </cell>
        </row>
        <row r="41">
          <cell r="X41">
            <v>17118</v>
          </cell>
        </row>
        <row r="42">
          <cell r="X42">
            <v>73232</v>
          </cell>
        </row>
        <row r="46">
          <cell r="X46">
            <v>12844</v>
          </cell>
        </row>
        <row r="47">
          <cell r="X47">
            <v>10716</v>
          </cell>
        </row>
        <row r="48">
          <cell r="X48">
            <v>12306</v>
          </cell>
        </row>
        <row r="49">
          <cell r="X49">
            <v>35866</v>
          </cell>
        </row>
        <row r="50">
          <cell r="X50">
            <v>11166</v>
          </cell>
        </row>
        <row r="51">
          <cell r="X51">
            <v>7709</v>
          </cell>
        </row>
        <row r="52">
          <cell r="X52">
            <v>8464</v>
          </cell>
        </row>
        <row r="53">
          <cell r="X53">
            <v>27339</v>
          </cell>
        </row>
        <row r="54">
          <cell r="X54">
            <v>10950</v>
          </cell>
        </row>
        <row r="55">
          <cell r="X55">
            <v>11656</v>
          </cell>
        </row>
        <row r="56">
          <cell r="X56">
            <v>4423</v>
          </cell>
        </row>
        <row r="57">
          <cell r="X57">
            <v>27029</v>
          </cell>
        </row>
        <row r="58">
          <cell r="X58">
            <v>4926</v>
          </cell>
        </row>
        <row r="59">
          <cell r="X59">
            <v>7964</v>
          </cell>
        </row>
        <row r="60">
          <cell r="X60">
            <v>9712</v>
          </cell>
        </row>
        <row r="61">
          <cell r="X61">
            <v>22602</v>
          </cell>
        </row>
        <row r="62">
          <cell r="X62">
            <v>112836</v>
          </cell>
        </row>
        <row r="66">
          <cell r="X66">
            <v>27558</v>
          </cell>
        </row>
        <row r="67">
          <cell r="X67">
            <v>24641</v>
          </cell>
        </row>
        <row r="68">
          <cell r="X68">
            <v>28610</v>
          </cell>
        </row>
        <row r="69">
          <cell r="X69">
            <v>80809</v>
          </cell>
        </row>
        <row r="70">
          <cell r="X70">
            <v>26993</v>
          </cell>
        </row>
        <row r="71">
          <cell r="X71">
            <v>21041</v>
          </cell>
        </row>
        <row r="72">
          <cell r="X72">
            <v>20164</v>
          </cell>
        </row>
        <row r="73">
          <cell r="X73">
            <v>68198</v>
          </cell>
        </row>
        <row r="74">
          <cell r="X74">
            <v>26183</v>
          </cell>
        </row>
        <row r="75">
          <cell r="X75">
            <v>24788</v>
          </cell>
        </row>
        <row r="76">
          <cell r="X76">
            <v>12516</v>
          </cell>
        </row>
        <row r="77">
          <cell r="X77">
            <v>63487</v>
          </cell>
        </row>
        <row r="78">
          <cell r="X78">
            <v>14156</v>
          </cell>
        </row>
        <row r="79">
          <cell r="X79">
            <v>20220</v>
          </cell>
        </row>
        <row r="80">
          <cell r="X80">
            <v>26278</v>
          </cell>
        </row>
        <row r="81">
          <cell r="X81">
            <v>60654</v>
          </cell>
        </row>
        <row r="82">
          <cell r="X82">
            <v>273148</v>
          </cell>
        </row>
        <row r="86">
          <cell r="X86">
            <v>28428</v>
          </cell>
        </row>
        <row r="87">
          <cell r="X87">
            <v>24135</v>
          </cell>
        </row>
        <row r="88">
          <cell r="X88">
            <v>28266</v>
          </cell>
        </row>
        <row r="89">
          <cell r="X89">
            <v>80829</v>
          </cell>
        </row>
        <row r="90">
          <cell r="X90">
            <v>27653</v>
          </cell>
        </row>
        <row r="91">
          <cell r="X91">
            <v>20657</v>
          </cell>
        </row>
        <row r="92">
          <cell r="X92">
            <v>20010</v>
          </cell>
        </row>
        <row r="93">
          <cell r="X93">
            <v>68320</v>
          </cell>
        </row>
        <row r="94">
          <cell r="X94">
            <v>23844</v>
          </cell>
        </row>
        <row r="95">
          <cell r="X95">
            <v>26982</v>
          </cell>
        </row>
        <row r="96">
          <cell r="X96">
            <v>12345</v>
          </cell>
        </row>
        <row r="97">
          <cell r="X97">
            <v>63171</v>
          </cell>
        </row>
        <row r="98">
          <cell r="X98">
            <v>13310</v>
          </cell>
        </row>
        <row r="99">
          <cell r="X99">
            <v>17016</v>
          </cell>
        </row>
        <row r="100">
          <cell r="X100">
            <v>24937</v>
          </cell>
        </row>
        <row r="101">
          <cell r="X101">
            <v>55263</v>
          </cell>
        </row>
        <row r="102">
          <cell r="X102">
            <v>267583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Summary"/>
      <sheetName val="Cruise"/>
      <sheetName val="Cruise Ships"/>
      <sheetName val="Passenger Movement"/>
    </sheetNames>
    <sheetDataSet>
      <sheetData sheetId="0"/>
      <sheetData sheetId="1">
        <row r="13">
          <cell r="Y13">
            <v>19602</v>
          </cell>
          <cell r="Z13">
            <v>17918</v>
          </cell>
          <cell r="AA13">
            <v>18114</v>
          </cell>
        </row>
        <row r="14">
          <cell r="Y14">
            <v>18111</v>
          </cell>
          <cell r="Z14">
            <v>16869</v>
          </cell>
          <cell r="AA14">
            <v>18100</v>
          </cell>
        </row>
        <row r="15">
          <cell r="Y15">
            <v>20989</v>
          </cell>
          <cell r="Z15">
            <v>19582</v>
          </cell>
          <cell r="AA15">
            <v>19912</v>
          </cell>
        </row>
        <row r="16">
          <cell r="Y16">
            <v>58702</v>
          </cell>
          <cell r="Z16">
            <v>54369</v>
          </cell>
          <cell r="AA16">
            <v>56126</v>
          </cell>
        </row>
        <row r="17">
          <cell r="Y17">
            <v>18833</v>
          </cell>
          <cell r="Z17">
            <v>15746</v>
          </cell>
          <cell r="AA17">
            <v>19618</v>
          </cell>
        </row>
        <row r="18">
          <cell r="Y18">
            <v>13506</v>
          </cell>
          <cell r="Z18">
            <v>13232</v>
          </cell>
          <cell r="AA18">
            <v>14339</v>
          </cell>
        </row>
        <row r="19">
          <cell r="Y19">
            <v>13519</v>
          </cell>
          <cell r="Z19">
            <v>13500</v>
          </cell>
          <cell r="AA19">
            <v>15845</v>
          </cell>
        </row>
        <row r="20">
          <cell r="Y20">
            <v>45858</v>
          </cell>
          <cell r="Z20">
            <v>42478</v>
          </cell>
          <cell r="AA20">
            <v>49802</v>
          </cell>
        </row>
        <row r="21">
          <cell r="Y21">
            <v>18482</v>
          </cell>
          <cell r="Z21">
            <v>18913</v>
          </cell>
          <cell r="AA21">
            <v>19092</v>
          </cell>
        </row>
        <row r="22">
          <cell r="Y22">
            <v>17319</v>
          </cell>
          <cell r="Z22">
            <v>15608</v>
          </cell>
          <cell r="AA22">
            <v>17588</v>
          </cell>
        </row>
        <row r="23">
          <cell r="Y23">
            <v>5987</v>
          </cell>
          <cell r="Z23">
            <v>5478</v>
          </cell>
          <cell r="AA23">
            <v>653</v>
          </cell>
        </row>
        <row r="24">
          <cell r="Y24">
            <v>41788</v>
          </cell>
          <cell r="Z24">
            <v>39999</v>
          </cell>
          <cell r="AA24">
            <v>37333</v>
          </cell>
        </row>
        <row r="25">
          <cell r="Y25">
            <v>7767</v>
          </cell>
          <cell r="Z25">
            <v>8635</v>
          </cell>
          <cell r="AA25">
            <v>833</v>
          </cell>
        </row>
        <row r="26">
          <cell r="Y26">
            <v>13927</v>
          </cell>
          <cell r="Z26">
            <v>12988</v>
          </cell>
          <cell r="AA26">
            <v>2352</v>
          </cell>
        </row>
        <row r="27">
          <cell r="Y27">
            <v>18026</v>
          </cell>
          <cell r="Z27">
            <v>17501</v>
          </cell>
          <cell r="AA27">
            <v>4232</v>
          </cell>
        </row>
        <row r="28">
          <cell r="Y28">
            <v>39720</v>
          </cell>
          <cell r="Z28">
            <v>39124</v>
          </cell>
          <cell r="AA28">
            <v>7417</v>
          </cell>
        </row>
        <row r="29">
          <cell r="Y29">
            <v>186068</v>
          </cell>
          <cell r="Z29">
            <v>175970</v>
          </cell>
          <cell r="AA29">
            <v>150678</v>
          </cell>
        </row>
        <row r="33">
          <cell r="Z33">
            <v>7280</v>
          </cell>
          <cell r="AA33">
            <v>7267</v>
          </cell>
        </row>
        <row r="34">
          <cell r="Z34">
            <v>7960</v>
          </cell>
          <cell r="AA34">
            <v>7934</v>
          </cell>
        </row>
        <row r="35">
          <cell r="Z35">
            <v>9743</v>
          </cell>
          <cell r="AA35">
            <v>9244</v>
          </cell>
        </row>
        <row r="36">
          <cell r="Z36">
            <v>24983</v>
          </cell>
          <cell r="AA36">
            <v>24445</v>
          </cell>
        </row>
        <row r="37">
          <cell r="Z37">
            <v>7340</v>
          </cell>
          <cell r="AA37">
            <v>9664</v>
          </cell>
        </row>
        <row r="38">
          <cell r="Z38">
            <v>6457</v>
          </cell>
          <cell r="AA38">
            <v>7100</v>
          </cell>
        </row>
        <row r="39">
          <cell r="Z39">
            <v>5588</v>
          </cell>
          <cell r="AA39">
            <v>6685</v>
          </cell>
        </row>
        <row r="40">
          <cell r="Z40">
            <v>19385</v>
          </cell>
          <cell r="AA40">
            <v>23449</v>
          </cell>
        </row>
        <row r="41">
          <cell r="Z41">
            <v>9512</v>
          </cell>
          <cell r="AA41">
            <v>8084</v>
          </cell>
        </row>
        <row r="42">
          <cell r="Z42">
            <v>5320</v>
          </cell>
          <cell r="AA42">
            <v>7428</v>
          </cell>
        </row>
        <row r="43">
          <cell r="Z43">
            <v>1710</v>
          </cell>
          <cell r="AA43">
            <v>351</v>
          </cell>
        </row>
        <row r="44">
          <cell r="Z44">
            <v>16542</v>
          </cell>
          <cell r="AA44">
            <v>15863</v>
          </cell>
        </row>
        <row r="45">
          <cell r="Z45">
            <v>3246</v>
          </cell>
          <cell r="AA45">
            <v>602</v>
          </cell>
        </row>
        <row r="46">
          <cell r="Z46">
            <v>6557</v>
          </cell>
          <cell r="AA46">
            <v>1299</v>
          </cell>
        </row>
        <row r="47">
          <cell r="Z47">
            <v>8526</v>
          </cell>
          <cell r="AA47">
            <v>2596</v>
          </cell>
        </row>
        <row r="48">
          <cell r="Z48">
            <v>18329</v>
          </cell>
          <cell r="AA48">
            <v>4497</v>
          </cell>
        </row>
        <row r="49">
          <cell r="Z49">
            <v>79239</v>
          </cell>
          <cell r="AA49">
            <v>68254</v>
          </cell>
        </row>
        <row r="53">
          <cell r="Z53">
            <v>10638</v>
          </cell>
          <cell r="AA53">
            <v>10847</v>
          </cell>
        </row>
        <row r="54">
          <cell r="Z54">
            <v>8909</v>
          </cell>
          <cell r="AA54">
            <v>10166</v>
          </cell>
        </row>
        <row r="55">
          <cell r="Z55">
            <v>9839</v>
          </cell>
          <cell r="AA55">
            <v>10668</v>
          </cell>
        </row>
        <row r="56">
          <cell r="Z56">
            <v>29386</v>
          </cell>
          <cell r="AA56">
            <v>31681</v>
          </cell>
        </row>
        <row r="57">
          <cell r="Z57">
            <v>8406</v>
          </cell>
          <cell r="AA57">
            <v>9954</v>
          </cell>
        </row>
        <row r="58">
          <cell r="Z58">
            <v>6775</v>
          </cell>
          <cell r="AA58">
            <v>7239</v>
          </cell>
        </row>
        <row r="59">
          <cell r="Z59">
            <v>7912</v>
          </cell>
          <cell r="AA59">
            <v>9160</v>
          </cell>
        </row>
        <row r="60">
          <cell r="Z60">
            <v>23093</v>
          </cell>
          <cell r="AA60">
            <v>26353</v>
          </cell>
        </row>
        <row r="61">
          <cell r="Z61">
            <v>9401</v>
          </cell>
          <cell r="AA61">
            <v>11008</v>
          </cell>
        </row>
        <row r="62">
          <cell r="Z62">
            <v>10288</v>
          </cell>
          <cell r="AA62">
            <v>10160</v>
          </cell>
        </row>
        <row r="63">
          <cell r="Z63">
            <v>3768</v>
          </cell>
          <cell r="AA63">
            <v>302</v>
          </cell>
        </row>
        <row r="64">
          <cell r="Z64">
            <v>23457</v>
          </cell>
          <cell r="AA64">
            <v>21470</v>
          </cell>
        </row>
        <row r="65">
          <cell r="Z65">
            <v>5389</v>
          </cell>
          <cell r="AA65">
            <v>231</v>
          </cell>
        </row>
        <row r="66">
          <cell r="Z66">
            <v>6431</v>
          </cell>
          <cell r="AA66">
            <v>1053</v>
          </cell>
        </row>
        <row r="67">
          <cell r="Z67">
            <v>8975</v>
          </cell>
          <cell r="AA67">
            <v>1636</v>
          </cell>
        </row>
        <row r="68">
          <cell r="Z68">
            <v>20795</v>
          </cell>
          <cell r="AA68">
            <v>2920</v>
          </cell>
        </row>
        <row r="69">
          <cell r="Z69">
            <v>96731</v>
          </cell>
          <cell r="AA69">
            <v>82424</v>
          </cell>
        </row>
        <row r="73">
          <cell r="Z73">
            <v>25036</v>
          </cell>
          <cell r="AA73">
            <v>25214</v>
          </cell>
        </row>
        <row r="74">
          <cell r="Z74">
            <v>23064</v>
          </cell>
          <cell r="AA74">
            <v>23386</v>
          </cell>
        </row>
        <row r="75">
          <cell r="Z75">
            <v>26820</v>
          </cell>
          <cell r="AA75">
            <v>26683</v>
          </cell>
        </row>
        <row r="76">
          <cell r="Z76">
            <v>74920</v>
          </cell>
          <cell r="AA76">
            <v>75283</v>
          </cell>
        </row>
        <row r="77">
          <cell r="Z77">
            <v>23367</v>
          </cell>
          <cell r="AA77">
            <v>27087</v>
          </cell>
        </row>
        <row r="78">
          <cell r="Z78">
            <v>21011</v>
          </cell>
          <cell r="AA78">
            <v>21711</v>
          </cell>
        </row>
        <row r="79">
          <cell r="Z79">
            <v>19631</v>
          </cell>
          <cell r="AA79">
            <v>22300</v>
          </cell>
        </row>
        <row r="80">
          <cell r="Z80">
            <v>64009</v>
          </cell>
          <cell r="AA80">
            <v>71098</v>
          </cell>
        </row>
        <row r="81">
          <cell r="Z81">
            <v>26994</v>
          </cell>
          <cell r="AA81">
            <v>26954</v>
          </cell>
        </row>
        <row r="82">
          <cell r="Z82">
            <v>23700</v>
          </cell>
          <cell r="AA82">
            <v>26147</v>
          </cell>
        </row>
        <row r="83">
          <cell r="Z83">
            <v>12468</v>
          </cell>
          <cell r="AA83">
            <v>2045</v>
          </cell>
        </row>
        <row r="84">
          <cell r="Z84">
            <v>63162</v>
          </cell>
          <cell r="AA84">
            <v>55146</v>
          </cell>
        </row>
        <row r="85">
          <cell r="Z85">
            <v>15670</v>
          </cell>
          <cell r="AA85">
            <v>3006</v>
          </cell>
        </row>
        <row r="86">
          <cell r="Z86">
            <v>19124</v>
          </cell>
          <cell r="AA86">
            <v>6481</v>
          </cell>
        </row>
        <row r="87">
          <cell r="Z87">
            <v>25817</v>
          </cell>
          <cell r="AA87">
            <v>10782</v>
          </cell>
        </row>
        <row r="88">
          <cell r="Z88">
            <v>60611</v>
          </cell>
          <cell r="AA88">
            <v>20269</v>
          </cell>
        </row>
        <row r="89">
          <cell r="Z89">
            <v>262702</v>
          </cell>
          <cell r="AA89">
            <v>221796</v>
          </cell>
        </row>
        <row r="93">
          <cell r="Z93">
            <v>25143</v>
          </cell>
          <cell r="AA93">
            <v>26107</v>
          </cell>
        </row>
        <row r="94">
          <cell r="Z94">
            <v>22544</v>
          </cell>
          <cell r="AA94">
            <v>23457</v>
          </cell>
        </row>
        <row r="95">
          <cell r="Z95">
            <v>26587</v>
          </cell>
          <cell r="AA95">
            <v>26969</v>
          </cell>
        </row>
        <row r="96">
          <cell r="Z96">
            <v>74274</v>
          </cell>
          <cell r="AA96">
            <v>76533</v>
          </cell>
        </row>
        <row r="97">
          <cell r="Z97">
            <v>24356</v>
          </cell>
          <cell r="AA97">
            <v>27869</v>
          </cell>
        </row>
        <row r="98">
          <cell r="Z98">
            <v>20204</v>
          </cell>
          <cell r="AA98">
            <v>20674</v>
          </cell>
        </row>
        <row r="99">
          <cell r="Z99">
            <v>19327</v>
          </cell>
          <cell r="AA99">
            <v>22165</v>
          </cell>
        </row>
        <row r="100">
          <cell r="Z100">
            <v>63887</v>
          </cell>
          <cell r="AA100">
            <v>70708</v>
          </cell>
        </row>
        <row r="101">
          <cell r="Z101">
            <v>22814</v>
          </cell>
          <cell r="AA101">
            <v>26307</v>
          </cell>
        </row>
        <row r="102">
          <cell r="Z102">
            <v>27577</v>
          </cell>
          <cell r="AA102">
            <v>29615</v>
          </cell>
        </row>
        <row r="103">
          <cell r="Z103">
            <v>12294</v>
          </cell>
          <cell r="AA103">
            <v>2382</v>
          </cell>
        </row>
        <row r="104">
          <cell r="Z104">
            <v>62685</v>
          </cell>
          <cell r="AA104">
            <v>58304</v>
          </cell>
        </row>
        <row r="105">
          <cell r="Z105">
            <v>14632</v>
          </cell>
          <cell r="AA105">
            <v>2840</v>
          </cell>
        </row>
        <row r="106">
          <cell r="Z106">
            <v>18434</v>
          </cell>
          <cell r="AA106">
            <v>6163</v>
          </cell>
        </row>
        <row r="107">
          <cell r="Z107">
            <v>24265</v>
          </cell>
          <cell r="AA107">
            <v>10666</v>
          </cell>
        </row>
        <row r="108">
          <cell r="Z108">
            <v>57331</v>
          </cell>
          <cell r="AA108">
            <v>19669</v>
          </cell>
        </row>
        <row r="109">
          <cell r="Z109">
            <v>258177</v>
          </cell>
          <cell r="AA109">
            <v>225214</v>
          </cell>
        </row>
        <row r="173">
          <cell r="C173">
            <v>9395</v>
          </cell>
          <cell r="D173">
            <v>1531</v>
          </cell>
          <cell r="E173">
            <v>541</v>
          </cell>
          <cell r="F173">
            <v>679</v>
          </cell>
          <cell r="G173">
            <v>259</v>
          </cell>
          <cell r="H173">
            <v>2489</v>
          </cell>
          <cell r="I173">
            <v>743</v>
          </cell>
          <cell r="J173">
            <v>641</v>
          </cell>
          <cell r="K173">
            <v>729</v>
          </cell>
          <cell r="L173">
            <v>1107</v>
          </cell>
          <cell r="M173">
            <v>18114</v>
          </cell>
        </row>
        <row r="174">
          <cell r="C174">
            <v>10493</v>
          </cell>
          <cell r="D174">
            <v>1332</v>
          </cell>
          <cell r="E174">
            <v>641</v>
          </cell>
          <cell r="F174">
            <v>284</v>
          </cell>
          <cell r="G174">
            <v>170</v>
          </cell>
          <cell r="H174">
            <v>2319</v>
          </cell>
          <cell r="I174">
            <v>725</v>
          </cell>
          <cell r="J174">
            <v>560</v>
          </cell>
          <cell r="K174">
            <v>625</v>
          </cell>
          <cell r="L174">
            <v>951</v>
          </cell>
          <cell r="M174">
            <v>18100</v>
          </cell>
        </row>
        <row r="175">
          <cell r="C175">
            <v>11807</v>
          </cell>
          <cell r="D175">
            <v>1602</v>
          </cell>
          <cell r="E175">
            <v>860</v>
          </cell>
          <cell r="F175">
            <v>284</v>
          </cell>
          <cell r="G175">
            <v>416</v>
          </cell>
          <cell r="H175">
            <v>2367</v>
          </cell>
          <cell r="I175">
            <v>559</v>
          </cell>
          <cell r="J175">
            <v>620</v>
          </cell>
          <cell r="K175">
            <v>622</v>
          </cell>
          <cell r="L175">
            <v>775</v>
          </cell>
          <cell r="M175">
            <v>19912</v>
          </cell>
        </row>
        <row r="176">
          <cell r="C176">
            <v>31695</v>
          </cell>
          <cell r="D176">
            <v>4465</v>
          </cell>
          <cell r="E176">
            <v>2042</v>
          </cell>
          <cell r="F176">
            <v>1247</v>
          </cell>
          <cell r="G176">
            <v>845</v>
          </cell>
          <cell r="H176">
            <v>7175</v>
          </cell>
          <cell r="I176">
            <v>2027</v>
          </cell>
          <cell r="J176">
            <v>1821</v>
          </cell>
          <cell r="K176">
            <v>1976</v>
          </cell>
          <cell r="L176">
            <v>2833</v>
          </cell>
          <cell r="M176">
            <v>56126</v>
          </cell>
        </row>
        <row r="177">
          <cell r="C177">
            <v>11921</v>
          </cell>
          <cell r="D177">
            <v>1019</v>
          </cell>
          <cell r="E177">
            <v>742</v>
          </cell>
          <cell r="F177">
            <v>188</v>
          </cell>
          <cell r="G177">
            <v>159</v>
          </cell>
          <cell r="H177">
            <v>2100</v>
          </cell>
          <cell r="I177">
            <v>816</v>
          </cell>
          <cell r="J177">
            <v>881</v>
          </cell>
          <cell r="K177">
            <v>939</v>
          </cell>
          <cell r="L177">
            <v>853</v>
          </cell>
          <cell r="M177">
            <v>19618</v>
          </cell>
        </row>
        <row r="178">
          <cell r="C178">
            <v>9004</v>
          </cell>
          <cell r="D178">
            <v>620</v>
          </cell>
          <cell r="E178">
            <v>440</v>
          </cell>
          <cell r="F178">
            <v>71</v>
          </cell>
          <cell r="G178">
            <v>63</v>
          </cell>
          <cell r="H178">
            <v>1211</v>
          </cell>
          <cell r="I178">
            <v>623</v>
          </cell>
          <cell r="J178">
            <v>851</v>
          </cell>
          <cell r="K178">
            <v>795</v>
          </cell>
          <cell r="L178">
            <v>661</v>
          </cell>
          <cell r="M178">
            <v>14339</v>
          </cell>
        </row>
        <row r="179">
          <cell r="C179">
            <v>11320</v>
          </cell>
          <cell r="D179">
            <v>509</v>
          </cell>
          <cell r="E179">
            <v>377</v>
          </cell>
          <cell r="F179">
            <v>74</v>
          </cell>
          <cell r="G179">
            <v>60</v>
          </cell>
          <cell r="H179">
            <v>1005</v>
          </cell>
          <cell r="I179">
            <v>626</v>
          </cell>
          <cell r="J179">
            <v>626</v>
          </cell>
          <cell r="K179">
            <v>647</v>
          </cell>
          <cell r="L179">
            <v>601</v>
          </cell>
          <cell r="M179">
            <v>15845</v>
          </cell>
        </row>
        <row r="180">
          <cell r="C180">
            <v>32245</v>
          </cell>
          <cell r="D180">
            <v>2148</v>
          </cell>
          <cell r="E180">
            <v>1559</v>
          </cell>
          <cell r="F180">
            <v>333</v>
          </cell>
          <cell r="G180">
            <v>282</v>
          </cell>
          <cell r="H180">
            <v>4316</v>
          </cell>
          <cell r="I180">
            <v>2065</v>
          </cell>
          <cell r="J180">
            <v>2358</v>
          </cell>
          <cell r="K180">
            <v>2381</v>
          </cell>
          <cell r="L180">
            <v>2115</v>
          </cell>
          <cell r="M180">
            <v>49802</v>
          </cell>
        </row>
        <row r="181">
          <cell r="C181">
            <v>12241</v>
          </cell>
          <cell r="D181">
            <v>653</v>
          </cell>
          <cell r="E181">
            <v>564</v>
          </cell>
          <cell r="F181">
            <v>133</v>
          </cell>
          <cell r="G181">
            <v>47</v>
          </cell>
          <cell r="H181">
            <v>1523</v>
          </cell>
          <cell r="I181">
            <v>873</v>
          </cell>
          <cell r="J181">
            <v>883</v>
          </cell>
          <cell r="K181">
            <v>1339</v>
          </cell>
          <cell r="L181">
            <v>836</v>
          </cell>
          <cell r="M181">
            <v>19092</v>
          </cell>
        </row>
        <row r="182">
          <cell r="C182">
            <v>9267</v>
          </cell>
          <cell r="D182">
            <v>535</v>
          </cell>
          <cell r="E182">
            <v>447</v>
          </cell>
          <cell r="F182">
            <v>496</v>
          </cell>
          <cell r="G182">
            <v>86</v>
          </cell>
          <cell r="H182">
            <v>2087</v>
          </cell>
          <cell r="I182">
            <v>1470</v>
          </cell>
          <cell r="J182">
            <v>1246</v>
          </cell>
          <cell r="K182">
            <v>1283</v>
          </cell>
          <cell r="L182">
            <v>671</v>
          </cell>
          <cell r="M182">
            <v>17588</v>
          </cell>
        </row>
        <row r="183">
          <cell r="C183">
            <v>229</v>
          </cell>
          <cell r="D183">
            <v>32</v>
          </cell>
          <cell r="E183">
            <v>52</v>
          </cell>
          <cell r="F183">
            <v>6</v>
          </cell>
          <cell r="G183">
            <v>3</v>
          </cell>
          <cell r="H183">
            <v>52</v>
          </cell>
          <cell r="I183">
            <v>29</v>
          </cell>
          <cell r="J183">
            <v>56</v>
          </cell>
          <cell r="K183">
            <v>146</v>
          </cell>
          <cell r="L183">
            <v>48</v>
          </cell>
          <cell r="M183">
            <v>653</v>
          </cell>
        </row>
        <row r="184">
          <cell r="C184">
            <v>21737</v>
          </cell>
          <cell r="D184">
            <v>1220</v>
          </cell>
          <cell r="E184">
            <v>1063</v>
          </cell>
          <cell r="F184">
            <v>635</v>
          </cell>
          <cell r="G184">
            <v>136</v>
          </cell>
          <cell r="H184">
            <v>3662</v>
          </cell>
          <cell r="I184">
            <v>2372</v>
          </cell>
          <cell r="J184">
            <v>2185</v>
          </cell>
          <cell r="K184">
            <v>2768</v>
          </cell>
          <cell r="L184">
            <v>1555</v>
          </cell>
          <cell r="M184">
            <v>37333</v>
          </cell>
        </row>
        <row r="185">
          <cell r="C185">
            <v>242</v>
          </cell>
          <cell r="D185">
            <v>18</v>
          </cell>
          <cell r="E185">
            <v>81</v>
          </cell>
          <cell r="F185">
            <v>1</v>
          </cell>
          <cell r="G185">
            <v>1</v>
          </cell>
          <cell r="H185">
            <v>75</v>
          </cell>
          <cell r="I185">
            <v>36</v>
          </cell>
          <cell r="J185">
            <v>120</v>
          </cell>
          <cell r="K185">
            <v>209</v>
          </cell>
          <cell r="L185">
            <v>50</v>
          </cell>
          <cell r="M185">
            <v>833</v>
          </cell>
        </row>
        <row r="186">
          <cell r="C186">
            <v>724</v>
          </cell>
          <cell r="D186">
            <v>104</v>
          </cell>
          <cell r="E186">
            <v>183</v>
          </cell>
          <cell r="F186">
            <v>11</v>
          </cell>
          <cell r="G186">
            <v>12</v>
          </cell>
          <cell r="H186">
            <v>160</v>
          </cell>
          <cell r="I186">
            <v>274</v>
          </cell>
          <cell r="J186">
            <v>350</v>
          </cell>
          <cell r="K186">
            <v>410</v>
          </cell>
          <cell r="L186">
            <v>124</v>
          </cell>
          <cell r="M186">
            <v>2352</v>
          </cell>
        </row>
        <row r="187">
          <cell r="C187">
            <v>1667</v>
          </cell>
          <cell r="D187">
            <v>119</v>
          </cell>
          <cell r="E187">
            <v>243</v>
          </cell>
          <cell r="F187">
            <v>54</v>
          </cell>
          <cell r="G187">
            <v>33</v>
          </cell>
          <cell r="H187">
            <v>457</v>
          </cell>
          <cell r="I187">
            <v>427</v>
          </cell>
          <cell r="J187">
            <v>529</v>
          </cell>
          <cell r="K187">
            <v>483</v>
          </cell>
          <cell r="L187">
            <v>220</v>
          </cell>
          <cell r="M187">
            <v>4232</v>
          </cell>
        </row>
        <row r="188">
          <cell r="C188">
            <v>2633</v>
          </cell>
          <cell r="D188">
            <v>241</v>
          </cell>
          <cell r="E188">
            <v>507</v>
          </cell>
          <cell r="F188">
            <v>66</v>
          </cell>
          <cell r="G188">
            <v>46</v>
          </cell>
          <cell r="H188">
            <v>692</v>
          </cell>
          <cell r="I188">
            <v>737</v>
          </cell>
          <cell r="J188">
            <v>999</v>
          </cell>
          <cell r="K188">
            <v>1102</v>
          </cell>
          <cell r="L188">
            <v>394</v>
          </cell>
          <cell r="M188">
            <v>7417</v>
          </cell>
        </row>
        <row r="189">
          <cell r="C189">
            <v>88310</v>
          </cell>
          <cell r="D189">
            <v>8074</v>
          </cell>
          <cell r="E189">
            <v>5171</v>
          </cell>
          <cell r="F189">
            <v>2281</v>
          </cell>
          <cell r="G189">
            <v>1309</v>
          </cell>
          <cell r="H189">
            <v>15845</v>
          </cell>
          <cell r="I189">
            <v>7201</v>
          </cell>
          <cell r="J189">
            <v>7363</v>
          </cell>
          <cell r="K189">
            <v>8227</v>
          </cell>
          <cell r="L189">
            <v>6897</v>
          </cell>
          <cell r="M189">
            <v>150678</v>
          </cell>
        </row>
        <row r="193">
          <cell r="C193">
            <v>4804</v>
          </cell>
          <cell r="D193">
            <v>465</v>
          </cell>
          <cell r="E193">
            <v>303</v>
          </cell>
          <cell r="F193">
            <v>182</v>
          </cell>
          <cell r="G193">
            <v>52</v>
          </cell>
          <cell r="H193">
            <v>423</v>
          </cell>
          <cell r="I193">
            <v>139</v>
          </cell>
          <cell r="J193">
            <v>227</v>
          </cell>
          <cell r="K193">
            <v>358</v>
          </cell>
          <cell r="L193">
            <v>314</v>
          </cell>
          <cell r="M193">
            <v>7267</v>
          </cell>
        </row>
        <row r="194">
          <cell r="C194">
            <v>5707</v>
          </cell>
          <cell r="D194">
            <v>472</v>
          </cell>
          <cell r="E194">
            <v>314</v>
          </cell>
          <cell r="F194">
            <v>119</v>
          </cell>
          <cell r="G194">
            <v>33</v>
          </cell>
          <cell r="H194">
            <v>365</v>
          </cell>
          <cell r="I194">
            <v>135</v>
          </cell>
          <cell r="J194">
            <v>203</v>
          </cell>
          <cell r="K194">
            <v>340</v>
          </cell>
          <cell r="L194">
            <v>246</v>
          </cell>
          <cell r="M194">
            <v>7934</v>
          </cell>
        </row>
        <row r="195">
          <cell r="C195">
            <v>6706</v>
          </cell>
          <cell r="D195">
            <v>581</v>
          </cell>
          <cell r="E195">
            <v>388</v>
          </cell>
          <cell r="F195">
            <v>81</v>
          </cell>
          <cell r="G195">
            <v>109</v>
          </cell>
          <cell r="H195">
            <v>420</v>
          </cell>
          <cell r="I195">
            <v>126</v>
          </cell>
          <cell r="J195">
            <v>214</v>
          </cell>
          <cell r="K195">
            <v>393</v>
          </cell>
          <cell r="L195">
            <v>226</v>
          </cell>
          <cell r="M195">
            <v>9244</v>
          </cell>
        </row>
        <row r="196">
          <cell r="C196">
            <v>17217</v>
          </cell>
          <cell r="D196">
            <v>1518</v>
          </cell>
          <cell r="E196">
            <v>1005</v>
          </cell>
          <cell r="F196">
            <v>382</v>
          </cell>
          <cell r="G196">
            <v>194</v>
          </cell>
          <cell r="H196">
            <v>1208</v>
          </cell>
          <cell r="I196">
            <v>400</v>
          </cell>
          <cell r="J196">
            <v>644</v>
          </cell>
          <cell r="K196">
            <v>1091</v>
          </cell>
          <cell r="L196">
            <v>786</v>
          </cell>
          <cell r="M196">
            <v>24445</v>
          </cell>
        </row>
        <row r="197">
          <cell r="C197">
            <v>6299</v>
          </cell>
          <cell r="D197">
            <v>346</v>
          </cell>
          <cell r="E197">
            <v>485</v>
          </cell>
          <cell r="F197">
            <v>115</v>
          </cell>
          <cell r="G197">
            <v>70</v>
          </cell>
          <cell r="H197">
            <v>613</v>
          </cell>
          <cell r="I197">
            <v>265</v>
          </cell>
          <cell r="J197">
            <v>447</v>
          </cell>
          <cell r="K197">
            <v>628</v>
          </cell>
          <cell r="L197">
            <v>396</v>
          </cell>
          <cell r="M197">
            <v>9664</v>
          </cell>
        </row>
        <row r="198">
          <cell r="C198">
            <v>4664</v>
          </cell>
          <cell r="D198">
            <v>243</v>
          </cell>
          <cell r="E198">
            <v>324</v>
          </cell>
          <cell r="F198">
            <v>45</v>
          </cell>
          <cell r="G198">
            <v>28</v>
          </cell>
          <cell r="H198">
            <v>388</v>
          </cell>
          <cell r="I198">
            <v>210</v>
          </cell>
          <cell r="J198">
            <v>398</v>
          </cell>
          <cell r="K198">
            <v>485</v>
          </cell>
          <cell r="L198">
            <v>315</v>
          </cell>
          <cell r="M198">
            <v>7100</v>
          </cell>
        </row>
        <row r="199">
          <cell r="C199">
            <v>4710</v>
          </cell>
          <cell r="D199">
            <v>206</v>
          </cell>
          <cell r="E199">
            <v>283</v>
          </cell>
          <cell r="F199">
            <v>52</v>
          </cell>
          <cell r="G199">
            <v>37</v>
          </cell>
          <cell r="H199">
            <v>289</v>
          </cell>
          <cell r="I199">
            <v>194</v>
          </cell>
          <cell r="J199">
            <v>236</v>
          </cell>
          <cell r="K199">
            <v>420</v>
          </cell>
          <cell r="L199">
            <v>258</v>
          </cell>
          <cell r="M199">
            <v>6685</v>
          </cell>
        </row>
        <row r="200">
          <cell r="C200">
            <v>15673</v>
          </cell>
          <cell r="D200">
            <v>795</v>
          </cell>
          <cell r="E200">
            <v>1092</v>
          </cell>
          <cell r="F200">
            <v>212</v>
          </cell>
          <cell r="G200">
            <v>135</v>
          </cell>
          <cell r="H200">
            <v>1290</v>
          </cell>
          <cell r="I200">
            <v>669</v>
          </cell>
          <cell r="J200">
            <v>1081</v>
          </cell>
          <cell r="K200">
            <v>1533</v>
          </cell>
          <cell r="L200">
            <v>969</v>
          </cell>
          <cell r="M200">
            <v>23449</v>
          </cell>
        </row>
        <row r="201">
          <cell r="C201">
            <v>4877</v>
          </cell>
          <cell r="D201">
            <v>185</v>
          </cell>
          <cell r="E201">
            <v>454</v>
          </cell>
          <cell r="F201">
            <v>104</v>
          </cell>
          <cell r="G201">
            <v>21</v>
          </cell>
          <cell r="H201">
            <v>457</v>
          </cell>
          <cell r="I201">
            <v>250</v>
          </cell>
          <cell r="J201">
            <v>393</v>
          </cell>
          <cell r="K201">
            <v>929</v>
          </cell>
          <cell r="L201">
            <v>414</v>
          </cell>
          <cell r="M201">
            <v>8084</v>
          </cell>
        </row>
        <row r="202">
          <cell r="C202">
            <v>3409</v>
          </cell>
          <cell r="D202">
            <v>119</v>
          </cell>
          <cell r="E202">
            <v>343</v>
          </cell>
          <cell r="F202">
            <v>290</v>
          </cell>
          <cell r="G202">
            <v>35</v>
          </cell>
          <cell r="H202">
            <v>526</v>
          </cell>
          <cell r="I202">
            <v>780</v>
          </cell>
          <cell r="J202">
            <v>770</v>
          </cell>
          <cell r="K202">
            <v>864</v>
          </cell>
          <cell r="L202">
            <v>292</v>
          </cell>
          <cell r="M202">
            <v>7428</v>
          </cell>
        </row>
        <row r="203">
          <cell r="C203">
            <v>99</v>
          </cell>
          <cell r="D203">
            <v>8</v>
          </cell>
          <cell r="E203">
            <v>46</v>
          </cell>
          <cell r="F203">
            <v>2</v>
          </cell>
          <cell r="G203">
            <v>0</v>
          </cell>
          <cell r="H203">
            <v>18</v>
          </cell>
          <cell r="I203">
            <v>15</v>
          </cell>
          <cell r="J203">
            <v>29</v>
          </cell>
          <cell r="K203">
            <v>99</v>
          </cell>
          <cell r="L203">
            <v>35</v>
          </cell>
          <cell r="M203">
            <v>351</v>
          </cell>
        </row>
        <row r="204">
          <cell r="C204">
            <v>8385</v>
          </cell>
          <cell r="D204">
            <v>312</v>
          </cell>
          <cell r="E204">
            <v>843</v>
          </cell>
          <cell r="F204">
            <v>396</v>
          </cell>
          <cell r="G204">
            <v>56</v>
          </cell>
          <cell r="H204">
            <v>1001</v>
          </cell>
          <cell r="I204">
            <v>1045</v>
          </cell>
          <cell r="J204">
            <v>1192</v>
          </cell>
          <cell r="K204">
            <v>1892</v>
          </cell>
          <cell r="L204">
            <v>741</v>
          </cell>
          <cell r="M204">
            <v>15863</v>
          </cell>
        </row>
        <row r="205">
          <cell r="C205">
            <v>206</v>
          </cell>
          <cell r="D205">
            <v>16</v>
          </cell>
          <cell r="E205">
            <v>73</v>
          </cell>
          <cell r="F205">
            <v>1</v>
          </cell>
          <cell r="G205">
            <v>0</v>
          </cell>
          <cell r="H205">
            <v>24</v>
          </cell>
          <cell r="I205">
            <v>17</v>
          </cell>
          <cell r="J205">
            <v>55</v>
          </cell>
          <cell r="K205">
            <v>169</v>
          </cell>
          <cell r="L205">
            <v>41</v>
          </cell>
          <cell r="M205">
            <v>602</v>
          </cell>
        </row>
        <row r="206">
          <cell r="C206">
            <v>521</v>
          </cell>
          <cell r="D206">
            <v>88</v>
          </cell>
          <cell r="E206">
            <v>128</v>
          </cell>
          <cell r="F206">
            <v>9</v>
          </cell>
          <cell r="G206">
            <v>7</v>
          </cell>
          <cell r="H206">
            <v>38</v>
          </cell>
          <cell r="I206">
            <v>81</v>
          </cell>
          <cell r="J206">
            <v>113</v>
          </cell>
          <cell r="K206">
            <v>249</v>
          </cell>
          <cell r="L206">
            <v>65</v>
          </cell>
          <cell r="M206">
            <v>1299</v>
          </cell>
        </row>
        <row r="207">
          <cell r="C207">
            <v>1325</v>
          </cell>
          <cell r="D207">
            <v>90</v>
          </cell>
          <cell r="E207">
            <v>162</v>
          </cell>
          <cell r="F207">
            <v>38</v>
          </cell>
          <cell r="G207">
            <v>24</v>
          </cell>
          <cell r="H207">
            <v>119</v>
          </cell>
          <cell r="I207">
            <v>176</v>
          </cell>
          <cell r="J207">
            <v>209</v>
          </cell>
          <cell r="K207">
            <v>316</v>
          </cell>
          <cell r="L207">
            <v>137</v>
          </cell>
          <cell r="M207">
            <v>2596</v>
          </cell>
        </row>
        <row r="208">
          <cell r="C208">
            <v>2052</v>
          </cell>
          <cell r="D208">
            <v>194</v>
          </cell>
          <cell r="E208">
            <v>363</v>
          </cell>
          <cell r="F208">
            <v>48</v>
          </cell>
          <cell r="G208">
            <v>31</v>
          </cell>
          <cell r="H208">
            <v>181</v>
          </cell>
          <cell r="I208">
            <v>274</v>
          </cell>
          <cell r="J208">
            <v>377</v>
          </cell>
          <cell r="K208">
            <v>734</v>
          </cell>
          <cell r="L208">
            <v>243</v>
          </cell>
          <cell r="M208">
            <v>4497</v>
          </cell>
        </row>
        <row r="209">
          <cell r="C209">
            <v>43327</v>
          </cell>
          <cell r="D209">
            <v>2819</v>
          </cell>
          <cell r="E209">
            <v>3303</v>
          </cell>
          <cell r="F209">
            <v>1038</v>
          </cell>
          <cell r="G209">
            <v>416</v>
          </cell>
          <cell r="H209">
            <v>3680</v>
          </cell>
          <cell r="I209">
            <v>2388</v>
          </cell>
          <cell r="J209">
            <v>3294</v>
          </cell>
          <cell r="K209">
            <v>5250</v>
          </cell>
          <cell r="L209">
            <v>2739</v>
          </cell>
          <cell r="M209">
            <v>68254</v>
          </cell>
        </row>
        <row r="213">
          <cell r="C213">
            <v>4591</v>
          </cell>
          <cell r="D213">
            <v>1066</v>
          </cell>
          <cell r="E213">
            <v>238</v>
          </cell>
          <cell r="F213">
            <v>497</v>
          </cell>
          <cell r="G213">
            <v>207</v>
          </cell>
          <cell r="H213">
            <v>2066</v>
          </cell>
          <cell r="I213">
            <v>604</v>
          </cell>
          <cell r="J213">
            <v>414</v>
          </cell>
          <cell r="K213">
            <v>371</v>
          </cell>
          <cell r="L213">
            <v>793</v>
          </cell>
          <cell r="M213">
            <v>10847</v>
          </cell>
        </row>
        <row r="214">
          <cell r="C214">
            <v>4786</v>
          </cell>
          <cell r="D214">
            <v>860</v>
          </cell>
          <cell r="E214">
            <v>327</v>
          </cell>
          <cell r="F214">
            <v>165</v>
          </cell>
          <cell r="G214">
            <v>137</v>
          </cell>
          <cell r="H214">
            <v>1954</v>
          </cell>
          <cell r="I214">
            <v>590</v>
          </cell>
          <cell r="J214">
            <v>357</v>
          </cell>
          <cell r="K214">
            <v>285</v>
          </cell>
          <cell r="L214">
            <v>705</v>
          </cell>
          <cell r="M214">
            <v>10166</v>
          </cell>
        </row>
        <row r="215">
          <cell r="C215">
            <v>5101</v>
          </cell>
          <cell r="D215">
            <v>1021</v>
          </cell>
          <cell r="E215">
            <v>472</v>
          </cell>
          <cell r="F215">
            <v>203</v>
          </cell>
          <cell r="G215">
            <v>307</v>
          </cell>
          <cell r="H215">
            <v>1947</v>
          </cell>
          <cell r="I215">
            <v>433</v>
          </cell>
          <cell r="J215">
            <v>406</v>
          </cell>
          <cell r="K215">
            <v>229</v>
          </cell>
          <cell r="L215">
            <v>549</v>
          </cell>
          <cell r="M215">
            <v>10668</v>
          </cell>
        </row>
        <row r="216">
          <cell r="C216">
            <v>14478</v>
          </cell>
          <cell r="D216">
            <v>2947</v>
          </cell>
          <cell r="E216">
            <v>1037</v>
          </cell>
          <cell r="F216">
            <v>865</v>
          </cell>
          <cell r="G216">
            <v>651</v>
          </cell>
          <cell r="H216">
            <v>5967</v>
          </cell>
          <cell r="I216">
            <v>1627</v>
          </cell>
          <cell r="J216">
            <v>1177</v>
          </cell>
          <cell r="K216">
            <v>885</v>
          </cell>
          <cell r="L216">
            <v>2047</v>
          </cell>
          <cell r="M216">
            <v>31681</v>
          </cell>
        </row>
        <row r="217">
          <cell r="C217">
            <v>5622</v>
          </cell>
          <cell r="D217">
            <v>673</v>
          </cell>
          <cell r="E217">
            <v>257</v>
          </cell>
          <cell r="F217">
            <v>73</v>
          </cell>
          <cell r="G217">
            <v>89</v>
          </cell>
          <cell r="H217">
            <v>1487</v>
          </cell>
          <cell r="I217">
            <v>551</v>
          </cell>
          <cell r="J217">
            <v>434</v>
          </cell>
          <cell r="K217">
            <v>311</v>
          </cell>
          <cell r="L217">
            <v>457</v>
          </cell>
          <cell r="M217">
            <v>9954</v>
          </cell>
        </row>
        <row r="218">
          <cell r="C218">
            <v>4340</v>
          </cell>
          <cell r="D218">
            <v>377</v>
          </cell>
          <cell r="E218">
            <v>116</v>
          </cell>
          <cell r="F218">
            <v>26</v>
          </cell>
          <cell r="G218">
            <v>35</v>
          </cell>
          <cell r="H218">
            <v>823</v>
          </cell>
          <cell r="I218">
            <v>413</v>
          </cell>
          <cell r="J218">
            <v>453</v>
          </cell>
          <cell r="K218">
            <v>310</v>
          </cell>
          <cell r="L218">
            <v>346</v>
          </cell>
          <cell r="M218">
            <v>7239</v>
          </cell>
        </row>
        <row r="219">
          <cell r="C219">
            <v>6610</v>
          </cell>
          <cell r="D219">
            <v>303</v>
          </cell>
          <cell r="E219">
            <v>94</v>
          </cell>
          <cell r="F219">
            <v>22</v>
          </cell>
          <cell r="G219">
            <v>23</v>
          </cell>
          <cell r="H219">
            <v>716</v>
          </cell>
          <cell r="I219">
            <v>432</v>
          </cell>
          <cell r="J219">
            <v>390</v>
          </cell>
          <cell r="K219">
            <v>227</v>
          </cell>
          <cell r="L219">
            <v>343</v>
          </cell>
          <cell r="M219">
            <v>9160</v>
          </cell>
        </row>
        <row r="220">
          <cell r="C220">
            <v>16572</v>
          </cell>
          <cell r="D220">
            <v>1353</v>
          </cell>
          <cell r="E220">
            <v>467</v>
          </cell>
          <cell r="F220">
            <v>121</v>
          </cell>
          <cell r="G220">
            <v>147</v>
          </cell>
          <cell r="H220">
            <v>3026</v>
          </cell>
          <cell r="I220">
            <v>1396</v>
          </cell>
          <cell r="J220">
            <v>1277</v>
          </cell>
          <cell r="K220">
            <v>848</v>
          </cell>
          <cell r="L220">
            <v>1146</v>
          </cell>
          <cell r="M220">
            <v>26353</v>
          </cell>
        </row>
        <row r="221">
          <cell r="C221">
            <v>7364</v>
          </cell>
          <cell r="D221">
            <v>468</v>
          </cell>
          <cell r="E221">
            <v>110</v>
          </cell>
          <cell r="F221">
            <v>29</v>
          </cell>
          <cell r="G221">
            <v>26</v>
          </cell>
          <cell r="H221">
            <v>1066</v>
          </cell>
          <cell r="I221">
            <v>623</v>
          </cell>
          <cell r="J221">
            <v>490</v>
          </cell>
          <cell r="K221">
            <v>410</v>
          </cell>
          <cell r="L221">
            <v>422</v>
          </cell>
          <cell r="M221">
            <v>11008</v>
          </cell>
        </row>
        <row r="222">
          <cell r="C222">
            <v>5858</v>
          </cell>
          <cell r="D222">
            <v>416</v>
          </cell>
          <cell r="E222">
            <v>104</v>
          </cell>
          <cell r="F222">
            <v>206</v>
          </cell>
          <cell r="G222">
            <v>51</v>
          </cell>
          <cell r="H222">
            <v>1561</v>
          </cell>
          <cell r="I222">
            <v>690</v>
          </cell>
          <cell r="J222">
            <v>476</v>
          </cell>
          <cell r="K222">
            <v>419</v>
          </cell>
          <cell r="L222">
            <v>379</v>
          </cell>
          <cell r="M222">
            <v>10160</v>
          </cell>
        </row>
        <row r="223">
          <cell r="C223">
            <v>130</v>
          </cell>
          <cell r="D223">
            <v>24</v>
          </cell>
          <cell r="E223">
            <v>6</v>
          </cell>
          <cell r="F223">
            <v>4</v>
          </cell>
          <cell r="G223">
            <v>3</v>
          </cell>
          <cell r="H223">
            <v>34</v>
          </cell>
          <cell r="I223">
            <v>14</v>
          </cell>
          <cell r="J223">
            <v>27</v>
          </cell>
          <cell r="K223">
            <v>47</v>
          </cell>
          <cell r="L223">
            <v>13</v>
          </cell>
          <cell r="M223">
            <v>302</v>
          </cell>
        </row>
        <row r="224">
          <cell r="C224">
            <v>13352</v>
          </cell>
          <cell r="D224">
            <v>908</v>
          </cell>
          <cell r="E224">
            <v>220</v>
          </cell>
          <cell r="F224">
            <v>239</v>
          </cell>
          <cell r="G224">
            <v>80</v>
          </cell>
          <cell r="H224">
            <v>2661</v>
          </cell>
          <cell r="I224">
            <v>1327</v>
          </cell>
          <cell r="J224">
            <v>993</v>
          </cell>
          <cell r="K224">
            <v>876</v>
          </cell>
          <cell r="L224">
            <v>814</v>
          </cell>
          <cell r="M224">
            <v>21470</v>
          </cell>
        </row>
        <row r="225">
          <cell r="C225">
            <v>36</v>
          </cell>
          <cell r="D225">
            <v>2</v>
          </cell>
          <cell r="E225">
            <v>8</v>
          </cell>
          <cell r="F225">
            <v>0</v>
          </cell>
          <cell r="G225">
            <v>1</v>
          </cell>
          <cell r="H225">
            <v>51</v>
          </cell>
          <cell r="I225">
            <v>19</v>
          </cell>
          <cell r="J225">
            <v>65</v>
          </cell>
          <cell r="K225">
            <v>40</v>
          </cell>
          <cell r="L225">
            <v>9</v>
          </cell>
          <cell r="M225">
            <v>231</v>
          </cell>
        </row>
        <row r="226">
          <cell r="C226">
            <v>203</v>
          </cell>
          <cell r="D226">
            <v>16</v>
          </cell>
          <cell r="E226">
            <v>55</v>
          </cell>
          <cell r="F226">
            <v>2</v>
          </cell>
          <cell r="G226">
            <v>5</v>
          </cell>
          <cell r="H226">
            <v>122</v>
          </cell>
          <cell r="I226">
            <v>193</v>
          </cell>
          <cell r="J226">
            <v>237</v>
          </cell>
          <cell r="K226">
            <v>161</v>
          </cell>
          <cell r="L226">
            <v>59</v>
          </cell>
          <cell r="M226">
            <v>1053</v>
          </cell>
        </row>
        <row r="227">
          <cell r="C227">
            <v>342</v>
          </cell>
          <cell r="D227">
            <v>29</v>
          </cell>
          <cell r="E227">
            <v>81</v>
          </cell>
          <cell r="F227">
            <v>16</v>
          </cell>
          <cell r="G227">
            <v>9</v>
          </cell>
          <cell r="H227">
            <v>338</v>
          </cell>
          <cell r="I227">
            <v>251</v>
          </cell>
          <cell r="J227">
            <v>320</v>
          </cell>
          <cell r="K227">
            <v>167</v>
          </cell>
          <cell r="L227">
            <v>83</v>
          </cell>
          <cell r="M227">
            <v>1636</v>
          </cell>
        </row>
        <row r="228">
          <cell r="C228">
            <v>581</v>
          </cell>
          <cell r="D228">
            <v>47</v>
          </cell>
          <cell r="E228">
            <v>144</v>
          </cell>
          <cell r="F228">
            <v>18</v>
          </cell>
          <cell r="G228">
            <v>15</v>
          </cell>
          <cell r="H228">
            <v>511</v>
          </cell>
          <cell r="I228">
            <v>463</v>
          </cell>
          <cell r="J228">
            <v>622</v>
          </cell>
          <cell r="K228">
            <v>368</v>
          </cell>
          <cell r="L228">
            <v>151</v>
          </cell>
          <cell r="M228">
            <v>2920</v>
          </cell>
        </row>
        <row r="229">
          <cell r="C229">
            <v>44983</v>
          </cell>
          <cell r="D229">
            <v>5255</v>
          </cell>
          <cell r="E229">
            <v>1868</v>
          </cell>
          <cell r="F229">
            <v>1243</v>
          </cell>
          <cell r="G229">
            <v>893</v>
          </cell>
          <cell r="H229">
            <v>12165</v>
          </cell>
          <cell r="I229">
            <v>4813</v>
          </cell>
          <cell r="J229">
            <v>4069</v>
          </cell>
          <cell r="K229">
            <v>2977</v>
          </cell>
          <cell r="L229">
            <v>4158</v>
          </cell>
          <cell r="M229">
            <v>82424</v>
          </cell>
        </row>
        <row r="293">
          <cell r="I293">
            <v>7.902229255538737</v>
          </cell>
        </row>
        <row r="294">
          <cell r="I294">
            <v>7.6606377615326444</v>
          </cell>
        </row>
        <row r="295">
          <cell r="I295">
            <v>7.3057659022068373</v>
          </cell>
        </row>
        <row r="296">
          <cell r="I296">
            <v>7.5982614031499285</v>
          </cell>
        </row>
        <row r="297">
          <cell r="I297">
            <v>6.8215542218543046</v>
          </cell>
        </row>
        <row r="298">
          <cell r="I298">
            <v>6.9716901408450704</v>
          </cell>
        </row>
        <row r="299">
          <cell r="I299">
            <v>7.6168287210172023</v>
          </cell>
        </row>
        <row r="300">
          <cell r="I300">
            <v>7.0937353405262487</v>
          </cell>
        </row>
        <row r="301">
          <cell r="I301">
            <v>8.412357743691242</v>
          </cell>
        </row>
        <row r="302">
          <cell r="I302">
            <v>7.686927840603123</v>
          </cell>
        </row>
        <row r="303">
          <cell r="I303">
            <v>14.616809116809117</v>
          </cell>
        </row>
        <row r="304">
          <cell r="I304">
            <v>8.2099539809619877</v>
          </cell>
        </row>
        <row r="305">
          <cell r="I305">
            <v>17.352990033222593</v>
          </cell>
        </row>
        <row r="306">
          <cell r="I306">
            <v>16.277521170130871</v>
          </cell>
        </row>
        <row r="307">
          <cell r="I307">
            <v>13.721687211093991</v>
          </cell>
        </row>
        <row r="308">
          <cell r="I308">
            <v>14.946075161218591</v>
          </cell>
        </row>
        <row r="309">
          <cell r="I309">
            <v>8.0512131157148303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summary"/>
      <sheetName val="cruise"/>
      <sheetName val="Cruise Ships"/>
      <sheetName val="Other Europe - Tourists"/>
      <sheetName val="Other Europe - Excursionists"/>
      <sheetName val="oth europe"/>
    </sheetNames>
    <sheetDataSet>
      <sheetData sheetId="0"/>
      <sheetData sheetId="1">
        <row r="5">
          <cell r="P5">
            <v>16695</v>
          </cell>
        </row>
        <row r="6">
          <cell r="P6">
            <v>16452</v>
          </cell>
        </row>
        <row r="7">
          <cell r="P7">
            <v>20424</v>
          </cell>
        </row>
        <row r="9">
          <cell r="P9">
            <v>17990</v>
          </cell>
        </row>
        <row r="10">
          <cell r="P10">
            <v>13980</v>
          </cell>
        </row>
        <row r="11">
          <cell r="P11">
            <v>12971</v>
          </cell>
        </row>
        <row r="13">
          <cell r="P13">
            <v>15524</v>
          </cell>
        </row>
        <row r="14">
          <cell r="P14">
            <v>15721</v>
          </cell>
        </row>
        <row r="15">
          <cell r="P15">
            <v>5547</v>
          </cell>
        </row>
        <row r="17">
          <cell r="P17">
            <v>6441</v>
          </cell>
        </row>
        <row r="18">
          <cell r="P18">
            <v>9823</v>
          </cell>
        </row>
        <row r="19">
          <cell r="P19">
            <v>12499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summary"/>
      <sheetName val="cruise"/>
      <sheetName val="Cruise Ships"/>
      <sheetName val="Other Europe - Tourists"/>
      <sheetName val="Other Europe - Excursionists"/>
    </sheetNames>
    <sheetDataSet>
      <sheetData sheetId="0"/>
      <sheetData sheetId="1">
        <row r="5">
          <cell r="Q5">
            <v>12336</v>
          </cell>
        </row>
        <row r="6">
          <cell r="Q6">
            <v>12549</v>
          </cell>
        </row>
        <row r="7">
          <cell r="Q7">
            <v>14729</v>
          </cell>
        </row>
        <row r="9">
          <cell r="Q9">
            <v>11998</v>
          </cell>
        </row>
        <row r="10">
          <cell r="Q10">
            <v>12122</v>
          </cell>
        </row>
        <row r="11">
          <cell r="Q11">
            <v>10027</v>
          </cell>
        </row>
        <row r="13">
          <cell r="Q13">
            <v>12372</v>
          </cell>
        </row>
        <row r="14">
          <cell r="Q14">
            <v>12508</v>
          </cell>
        </row>
        <row r="15">
          <cell r="Q15">
            <v>4056</v>
          </cell>
        </row>
        <row r="17">
          <cell r="Q17">
            <v>5192</v>
          </cell>
        </row>
        <row r="18">
          <cell r="Q18">
            <v>9540</v>
          </cell>
        </row>
        <row r="19">
          <cell r="Q19">
            <v>10432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summary"/>
      <sheetName val="cruise"/>
      <sheetName val="Cruise Ships"/>
      <sheetName val="Other Europe - Tourists"/>
      <sheetName val="Other Europe - Excursionists"/>
    </sheetNames>
    <sheetDataSet>
      <sheetData sheetId="0"/>
      <sheetData sheetId="1">
        <row r="5">
          <cell r="R5">
            <v>10063</v>
          </cell>
        </row>
        <row r="6">
          <cell r="R6">
            <v>10034</v>
          </cell>
        </row>
        <row r="7">
          <cell r="R7">
            <v>11152</v>
          </cell>
        </row>
        <row r="9">
          <cell r="R9">
            <v>11553</v>
          </cell>
        </row>
        <row r="10">
          <cell r="R10">
            <v>9005</v>
          </cell>
        </row>
        <row r="11">
          <cell r="R11">
            <v>8822</v>
          </cell>
        </row>
        <row r="13">
          <cell r="R13">
            <v>11536</v>
          </cell>
        </row>
        <row r="14">
          <cell r="R14">
            <v>10084</v>
          </cell>
        </row>
        <row r="15">
          <cell r="R15">
            <v>3815</v>
          </cell>
        </row>
        <row r="17">
          <cell r="R17">
            <v>6117</v>
          </cell>
        </row>
        <row r="18">
          <cell r="R18">
            <v>8492</v>
          </cell>
        </row>
        <row r="19">
          <cell r="R19">
            <v>11442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summary"/>
      <sheetName val="cruise"/>
      <sheetName val="Cruise Ships"/>
      <sheetName val="Other Europe - Tourists"/>
      <sheetName val="Other Europe - Excursionists"/>
    </sheetNames>
    <sheetDataSet>
      <sheetData sheetId="0"/>
      <sheetData sheetId="1">
        <row r="5">
          <cell r="S5">
            <v>10502</v>
          </cell>
        </row>
        <row r="6">
          <cell r="S6">
            <v>12037</v>
          </cell>
        </row>
        <row r="7">
          <cell r="S7">
            <v>13152</v>
          </cell>
        </row>
        <row r="9">
          <cell r="S9">
            <v>11605</v>
          </cell>
        </row>
        <row r="10">
          <cell r="S10">
            <v>9723</v>
          </cell>
        </row>
        <row r="11">
          <cell r="S11">
            <v>8626</v>
          </cell>
        </row>
        <row r="13">
          <cell r="S13">
            <v>11307</v>
          </cell>
        </row>
        <row r="14">
          <cell r="S14">
            <v>10936</v>
          </cell>
        </row>
        <row r="15">
          <cell r="S15">
            <v>3865</v>
          </cell>
        </row>
        <row r="17">
          <cell r="S17">
            <v>5619</v>
          </cell>
        </row>
        <row r="18">
          <cell r="S18">
            <v>9075</v>
          </cell>
        </row>
        <row r="19">
          <cell r="S19">
            <v>11964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summary"/>
      <sheetName val="cruise"/>
      <sheetName val="Cruise Ships"/>
      <sheetName val="Other Europe - Tourists"/>
      <sheetName val="Other Europe - Excursionists"/>
    </sheetNames>
    <sheetDataSet>
      <sheetData sheetId="0"/>
      <sheetData sheetId="1">
        <row r="5">
          <cell r="T5">
            <v>11632</v>
          </cell>
        </row>
        <row r="6">
          <cell r="T6">
            <v>12002</v>
          </cell>
        </row>
        <row r="7">
          <cell r="T7">
            <v>14706</v>
          </cell>
        </row>
        <row r="9">
          <cell r="T9">
            <v>12797</v>
          </cell>
        </row>
        <row r="10">
          <cell r="T10">
            <v>10160</v>
          </cell>
        </row>
        <row r="11">
          <cell r="T11">
            <v>9024</v>
          </cell>
        </row>
        <row r="13">
          <cell r="T13">
            <v>12702</v>
          </cell>
        </row>
        <row r="14">
          <cell r="T14">
            <v>9161</v>
          </cell>
        </row>
        <row r="15">
          <cell r="T15">
            <v>3637</v>
          </cell>
        </row>
        <row r="17">
          <cell r="T17">
            <v>5498</v>
          </cell>
        </row>
        <row r="18">
          <cell r="T18">
            <v>9966</v>
          </cell>
        </row>
        <row r="19">
          <cell r="T19">
            <v>12273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summary"/>
      <sheetName val="cruise"/>
      <sheetName val="Cruise Ships"/>
      <sheetName val="Other Europe - Tourists"/>
      <sheetName val="Other Europe - Excursionists"/>
    </sheetNames>
    <sheetDataSet>
      <sheetData sheetId="0"/>
      <sheetData sheetId="1">
        <row r="5">
          <cell r="U5">
            <v>13166</v>
          </cell>
        </row>
        <row r="6">
          <cell r="U6">
            <v>13361</v>
          </cell>
        </row>
        <row r="7">
          <cell r="U7">
            <v>14242</v>
          </cell>
        </row>
        <row r="9">
          <cell r="U9">
            <v>12595</v>
          </cell>
        </row>
        <row r="10">
          <cell r="U10">
            <v>10344</v>
          </cell>
        </row>
        <row r="11">
          <cell r="U11">
            <v>9246</v>
          </cell>
        </row>
        <row r="13">
          <cell r="U13">
            <v>11282</v>
          </cell>
        </row>
        <row r="14">
          <cell r="U14">
            <v>12380</v>
          </cell>
        </row>
        <row r="15">
          <cell r="U15">
            <v>4344</v>
          </cell>
        </row>
        <row r="17">
          <cell r="U17">
            <v>6001</v>
          </cell>
        </row>
        <row r="18">
          <cell r="U18">
            <v>8866</v>
          </cell>
        </row>
        <row r="19">
          <cell r="U19">
            <v>13564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summary"/>
      <sheetName val="cruise"/>
      <sheetName val="Cruise Ships"/>
      <sheetName val="Other Europe - Tourists"/>
      <sheetName val="Other Europe - Excursionists"/>
    </sheetNames>
    <sheetDataSet>
      <sheetData sheetId="0"/>
      <sheetData sheetId="1">
        <row r="5">
          <cell r="V5">
            <v>14126</v>
          </cell>
        </row>
        <row r="6">
          <cell r="V6">
            <v>14705</v>
          </cell>
        </row>
        <row r="7">
          <cell r="V7">
            <v>17732</v>
          </cell>
        </row>
        <row r="9">
          <cell r="V9">
            <v>13787</v>
          </cell>
        </row>
        <row r="10">
          <cell r="V10">
            <v>11736</v>
          </cell>
        </row>
        <row r="11">
          <cell r="V11">
            <v>11117</v>
          </cell>
        </row>
        <row r="13">
          <cell r="V13">
            <v>13497</v>
          </cell>
        </row>
        <row r="14">
          <cell r="V14">
            <v>14974</v>
          </cell>
        </row>
        <row r="15">
          <cell r="V15">
            <v>4479</v>
          </cell>
        </row>
        <row r="17">
          <cell r="V17">
            <v>6579</v>
          </cell>
        </row>
        <row r="18">
          <cell r="V18">
            <v>11936</v>
          </cell>
        </row>
        <row r="19">
          <cell r="V19">
            <v>16635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"/>
      <sheetName val="summary"/>
      <sheetName val="cruise"/>
      <sheetName val="Cruise Ships"/>
      <sheetName val="Other Europe - Tourists"/>
      <sheetName val="Other Europe - Excursionists"/>
      <sheetName val="Passenger Movement"/>
    </sheetNames>
    <sheetDataSet>
      <sheetData sheetId="0">
        <row r="4">
          <cell r="B4">
            <v>2018</v>
          </cell>
        </row>
      </sheetData>
      <sheetData sheetId="1" refreshError="1">
        <row r="5">
          <cell r="W5">
            <v>17183</v>
          </cell>
        </row>
        <row r="6">
          <cell r="W6">
            <v>16354</v>
          </cell>
        </row>
        <row r="7">
          <cell r="W7">
            <v>18447</v>
          </cell>
        </row>
        <row r="8">
          <cell r="W8">
            <v>51984</v>
          </cell>
        </row>
        <row r="9">
          <cell r="W9">
            <v>17923</v>
          </cell>
        </row>
        <row r="10">
          <cell r="W10">
            <v>13609</v>
          </cell>
        </row>
        <row r="11">
          <cell r="W11">
            <v>13315</v>
          </cell>
        </row>
        <row r="12">
          <cell r="W12">
            <v>44847</v>
          </cell>
        </row>
        <row r="13">
          <cell r="W13">
            <v>16098</v>
          </cell>
        </row>
        <row r="14">
          <cell r="W14">
            <v>16210</v>
          </cell>
        </row>
        <row r="15">
          <cell r="W15">
            <v>5956</v>
          </cell>
        </row>
        <row r="16">
          <cell r="W16">
            <v>38264</v>
          </cell>
        </row>
        <row r="17">
          <cell r="W17">
            <v>7134</v>
          </cell>
        </row>
        <row r="18">
          <cell r="W18">
            <v>13590</v>
          </cell>
        </row>
        <row r="19">
          <cell r="W19">
            <v>20961</v>
          </cell>
        </row>
        <row r="20">
          <cell r="W20">
            <v>41685</v>
          </cell>
        </row>
        <row r="21">
          <cell r="W21">
            <v>176780</v>
          </cell>
        </row>
        <row r="26">
          <cell r="W26">
            <v>6644</v>
          </cell>
        </row>
        <row r="27">
          <cell r="W27">
            <v>7026</v>
          </cell>
        </row>
        <row r="28">
          <cell r="W28">
            <v>7868</v>
          </cell>
        </row>
        <row r="29">
          <cell r="W29">
            <v>21538</v>
          </cell>
        </row>
        <row r="30">
          <cell r="W30">
            <v>7688</v>
          </cell>
        </row>
        <row r="31">
          <cell r="W31">
            <v>5894</v>
          </cell>
        </row>
        <row r="32">
          <cell r="W32">
            <v>5296</v>
          </cell>
        </row>
        <row r="33">
          <cell r="W33">
            <v>18878</v>
          </cell>
        </row>
        <row r="34">
          <cell r="W34">
            <v>6159</v>
          </cell>
        </row>
        <row r="35">
          <cell r="W35">
            <v>5735</v>
          </cell>
        </row>
        <row r="36">
          <cell r="W36">
            <v>1649</v>
          </cell>
        </row>
        <row r="37">
          <cell r="W37">
            <v>13543</v>
          </cell>
        </row>
        <row r="38">
          <cell r="W38">
            <v>2236</v>
          </cell>
        </row>
        <row r="39">
          <cell r="W39">
            <v>6148</v>
          </cell>
        </row>
        <row r="40">
          <cell r="W40">
            <v>8574</v>
          </cell>
        </row>
        <row r="41">
          <cell r="W41">
            <v>16958</v>
          </cell>
        </row>
        <row r="42">
          <cell r="W42">
            <v>70917</v>
          </cell>
        </row>
        <row r="46">
          <cell r="W46">
            <v>10539</v>
          </cell>
        </row>
        <row r="47">
          <cell r="W47">
            <v>9328</v>
          </cell>
        </row>
        <row r="48">
          <cell r="W48">
            <v>10579</v>
          </cell>
        </row>
        <row r="49">
          <cell r="W49">
            <v>30446</v>
          </cell>
        </row>
        <row r="50">
          <cell r="W50">
            <v>10235</v>
          </cell>
        </row>
        <row r="51">
          <cell r="W51">
            <v>7715</v>
          </cell>
        </row>
        <row r="52">
          <cell r="W52">
            <v>8019</v>
          </cell>
        </row>
        <row r="53">
          <cell r="W53">
            <v>25969</v>
          </cell>
        </row>
        <row r="54">
          <cell r="W54">
            <v>9939</v>
          </cell>
        </row>
        <row r="55">
          <cell r="W55">
            <v>10475</v>
          </cell>
        </row>
        <row r="56">
          <cell r="W56">
            <v>4307</v>
          </cell>
        </row>
        <row r="57">
          <cell r="W57">
            <v>24721</v>
          </cell>
        </row>
        <row r="58">
          <cell r="W58">
            <v>4898</v>
          </cell>
        </row>
        <row r="59">
          <cell r="W59">
            <v>7442</v>
          </cell>
        </row>
        <row r="60">
          <cell r="W60">
            <v>12387</v>
          </cell>
        </row>
        <row r="61">
          <cell r="W61">
            <v>24727</v>
          </cell>
        </row>
        <row r="62">
          <cell r="W62">
            <v>105863</v>
          </cell>
        </row>
        <row r="66">
          <cell r="W66">
            <v>24186</v>
          </cell>
        </row>
        <row r="67">
          <cell r="W67">
            <v>22061</v>
          </cell>
        </row>
        <row r="68">
          <cell r="W68">
            <v>25705</v>
          </cell>
        </row>
        <row r="69">
          <cell r="W69">
            <v>71952</v>
          </cell>
        </row>
        <row r="70">
          <cell r="W70">
            <v>25037</v>
          </cell>
        </row>
        <row r="71">
          <cell r="W71">
            <v>20801</v>
          </cell>
        </row>
        <row r="72">
          <cell r="W72">
            <v>20063</v>
          </cell>
        </row>
        <row r="73">
          <cell r="W73">
            <v>65901</v>
          </cell>
        </row>
        <row r="74">
          <cell r="W74">
            <v>23583</v>
          </cell>
        </row>
        <row r="75">
          <cell r="W75">
            <v>25217</v>
          </cell>
        </row>
        <row r="76">
          <cell r="W76">
            <v>12317</v>
          </cell>
        </row>
        <row r="77">
          <cell r="W77">
            <v>61117</v>
          </cell>
        </row>
        <row r="78">
          <cell r="W78">
            <v>13143</v>
          </cell>
        </row>
        <row r="79">
          <cell r="W79">
            <v>19872</v>
          </cell>
        </row>
        <row r="80">
          <cell r="W80">
            <v>30142</v>
          </cell>
        </row>
        <row r="81">
          <cell r="W81">
            <v>63157</v>
          </cell>
        </row>
        <row r="82">
          <cell r="W82">
            <v>262127</v>
          </cell>
        </row>
        <row r="86">
          <cell r="W86">
            <v>24411</v>
          </cell>
        </row>
        <row r="87">
          <cell r="W87">
            <v>21842</v>
          </cell>
        </row>
        <row r="88">
          <cell r="W88">
            <v>26223</v>
          </cell>
        </row>
        <row r="89">
          <cell r="W89">
            <v>72476</v>
          </cell>
        </row>
        <row r="90">
          <cell r="W90">
            <v>25018</v>
          </cell>
        </row>
        <row r="91">
          <cell r="W91">
            <v>20196</v>
          </cell>
        </row>
        <row r="92">
          <cell r="W92">
            <v>19867</v>
          </cell>
        </row>
        <row r="93">
          <cell r="W93">
            <v>65081</v>
          </cell>
        </row>
        <row r="94">
          <cell r="W94">
            <v>22384</v>
          </cell>
        </row>
        <row r="95">
          <cell r="W95">
            <v>26637</v>
          </cell>
        </row>
        <row r="96">
          <cell r="W96">
            <v>12197</v>
          </cell>
        </row>
        <row r="97">
          <cell r="W97">
            <v>61218</v>
          </cell>
        </row>
        <row r="98">
          <cell r="W98">
            <v>12441</v>
          </cell>
        </row>
        <row r="99">
          <cell r="W99">
            <v>18955</v>
          </cell>
        </row>
        <row r="100">
          <cell r="W100">
            <v>28161</v>
          </cell>
        </row>
        <row r="101">
          <cell r="W101">
            <v>59557</v>
          </cell>
        </row>
        <row r="102">
          <cell r="W102">
            <v>258332</v>
          </cell>
        </row>
      </sheetData>
      <sheetData sheetId="2"/>
      <sheetData sheetId="3" refreshError="1">
        <row r="32">
          <cell r="D32">
            <v>2</v>
          </cell>
          <cell r="E32">
            <v>6</v>
          </cell>
        </row>
        <row r="33">
          <cell r="D33">
            <v>253</v>
          </cell>
          <cell r="E33">
            <v>786</v>
          </cell>
        </row>
        <row r="36">
          <cell r="C36">
            <v>6</v>
          </cell>
          <cell r="D36">
            <v>2</v>
          </cell>
          <cell r="E36">
            <v>3</v>
          </cell>
          <cell r="F36">
            <v>3</v>
          </cell>
          <cell r="M36">
            <v>1</v>
          </cell>
          <cell r="N36">
            <v>6</v>
          </cell>
        </row>
        <row r="37">
          <cell r="C37">
            <v>923</v>
          </cell>
          <cell r="D37">
            <v>433</v>
          </cell>
          <cell r="E37">
            <v>378</v>
          </cell>
          <cell r="F37">
            <v>351</v>
          </cell>
          <cell r="M37">
            <v>64</v>
          </cell>
          <cell r="N37">
            <v>690</v>
          </cell>
        </row>
        <row r="38">
          <cell r="M38">
            <v>91</v>
          </cell>
          <cell r="N38">
            <v>553</v>
          </cell>
        </row>
        <row r="40">
          <cell r="E40">
            <v>4</v>
          </cell>
        </row>
        <row r="41">
          <cell r="E41">
            <v>693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1401"/>
  <sheetViews>
    <sheetView zoomScale="90" zoomScaleNormal="90" zoomScaleSheetLayoutView="75" workbookViewId="0">
      <selection activeCell="H22" sqref="H22"/>
    </sheetView>
  </sheetViews>
  <sheetFormatPr defaultRowHeight="15" x14ac:dyDescent="0.2"/>
  <cols>
    <col min="1" max="1" width="13.88671875" style="196" customWidth="1"/>
    <col min="2" max="7" width="18.109375" style="29" customWidth="1"/>
    <col min="8" max="8" width="12.88671875" style="29" customWidth="1"/>
    <col min="9" max="9" width="9.6640625" style="29" customWidth="1"/>
    <col min="10" max="10" width="9.5546875" style="29" customWidth="1"/>
    <col min="11" max="11" width="12.77734375" style="29" customWidth="1"/>
    <col min="12" max="12" width="9" style="29" bestFit="1" customWidth="1"/>
    <col min="13" max="13" width="13.6640625" style="29" bestFit="1" customWidth="1"/>
    <col min="14" max="14" width="10.88671875" style="29" customWidth="1"/>
    <col min="15" max="15" width="12.44140625" style="29" customWidth="1"/>
    <col min="16" max="16" width="10.33203125" style="29" customWidth="1"/>
    <col min="17" max="17" width="9" style="29" bestFit="1" customWidth="1"/>
    <col min="18" max="18" width="14.6640625" style="29" customWidth="1"/>
    <col min="19" max="19" width="16.21875" style="29" bestFit="1" customWidth="1"/>
    <col min="20" max="20" width="10.88671875" style="29" bestFit="1" customWidth="1"/>
    <col min="21" max="21" width="12.21875" style="29" bestFit="1" customWidth="1"/>
    <col min="22" max="22" width="13.44140625" style="29" bestFit="1" customWidth="1"/>
    <col min="23" max="23" width="13.109375" style="29" bestFit="1" customWidth="1"/>
    <col min="24" max="24" width="11" style="29" bestFit="1" customWidth="1"/>
    <col min="25" max="25" width="11.21875" style="29" bestFit="1" customWidth="1"/>
    <col min="26" max="26" width="11.77734375" style="29" bestFit="1" customWidth="1"/>
    <col min="27" max="27" width="10.88671875" style="29" bestFit="1" customWidth="1"/>
    <col min="28" max="28" width="11" style="29" bestFit="1" customWidth="1"/>
    <col min="29" max="29" width="13.5546875" style="29" bestFit="1" customWidth="1"/>
    <col min="30" max="30" width="19.21875" style="29" bestFit="1" customWidth="1"/>
    <col min="31" max="31" width="10.109375" style="29" bestFit="1" customWidth="1"/>
    <col min="32" max="32" width="7.88671875" style="29" bestFit="1" customWidth="1"/>
    <col min="33" max="33" width="13.88671875" style="29" bestFit="1" customWidth="1"/>
    <col min="34" max="34" width="12.6640625" style="29" bestFit="1" customWidth="1"/>
    <col min="35" max="35" width="9.109375" style="29" bestFit="1" customWidth="1"/>
    <col min="36" max="36" width="22.33203125" style="29" bestFit="1" customWidth="1"/>
    <col min="37" max="37" width="9.33203125" style="29" bestFit="1" customWidth="1"/>
    <col min="38" max="61" width="8.88671875" style="30"/>
    <col min="62" max="16384" width="8.88671875" style="31"/>
  </cols>
  <sheetData>
    <row r="1" spans="1:61" ht="40.5" customHeight="1" thickBot="1" x14ac:dyDescent="0.4">
      <c r="A1" s="339" t="s">
        <v>198</v>
      </c>
      <c r="B1" s="340"/>
      <c r="C1" s="340"/>
      <c r="D1" s="340"/>
      <c r="E1" s="340"/>
      <c r="F1" s="341"/>
    </row>
    <row r="2" spans="1:61" s="35" customFormat="1" ht="21.75" customHeight="1" thickBot="1" x14ac:dyDescent="0.25">
      <c r="A2" s="342" t="s">
        <v>199</v>
      </c>
      <c r="B2" s="343"/>
      <c r="C2" s="343"/>
      <c r="D2" s="343"/>
      <c r="E2" s="343"/>
      <c r="F2" s="344"/>
      <c r="G2" s="32"/>
      <c r="H2" s="32"/>
      <c r="I2" s="32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</row>
    <row r="3" spans="1:61" ht="15.75" thickBot="1" x14ac:dyDescent="0.25">
      <c r="A3" s="36"/>
      <c r="B3" s="37" t="s">
        <v>61</v>
      </c>
      <c r="C3" s="37" t="s">
        <v>62</v>
      </c>
      <c r="D3" s="37" t="s">
        <v>63</v>
      </c>
      <c r="E3" s="37" t="s">
        <v>64</v>
      </c>
      <c r="F3" s="38" t="s">
        <v>0</v>
      </c>
      <c r="G3" s="32"/>
      <c r="H3" s="32"/>
      <c r="I3" s="32"/>
    </row>
    <row r="4" spans="1:61" x14ac:dyDescent="0.2">
      <c r="A4" s="39" t="s">
        <v>65</v>
      </c>
      <c r="B4" s="40">
        <v>1878</v>
      </c>
      <c r="C4" s="41">
        <f>D4+E4</f>
        <v>8764</v>
      </c>
      <c r="D4" s="40">
        <v>7550</v>
      </c>
      <c r="E4" s="40">
        <v>1214</v>
      </c>
      <c r="F4" s="42">
        <f>B4+C4</f>
        <v>10642</v>
      </c>
      <c r="G4" s="32"/>
      <c r="H4" s="32"/>
      <c r="I4" s="32"/>
      <c r="J4" s="32"/>
      <c r="K4" s="32"/>
    </row>
    <row r="5" spans="1:61" x14ac:dyDescent="0.2">
      <c r="A5" s="43" t="s">
        <v>66</v>
      </c>
      <c r="B5" s="44">
        <v>873</v>
      </c>
      <c r="C5" s="45">
        <f t="shared" ref="C5:C15" si="0">D5+E5</f>
        <v>4676</v>
      </c>
      <c r="D5" s="44">
        <v>3341</v>
      </c>
      <c r="E5" s="44">
        <v>1335</v>
      </c>
      <c r="F5" s="46">
        <f t="shared" ref="F5:F16" si="1">B5+C5</f>
        <v>5549</v>
      </c>
      <c r="G5" s="32"/>
      <c r="H5" s="32"/>
      <c r="I5" s="32"/>
      <c r="J5" s="32"/>
      <c r="K5" s="32"/>
      <c r="L5" s="32"/>
      <c r="M5" s="32"/>
    </row>
    <row r="6" spans="1:61" x14ac:dyDescent="0.2">
      <c r="A6" s="43" t="s">
        <v>67</v>
      </c>
      <c r="B6" s="44">
        <v>73</v>
      </c>
      <c r="C6" s="45">
        <f t="shared" si="0"/>
        <v>10551</v>
      </c>
      <c r="D6" s="44">
        <v>9696</v>
      </c>
      <c r="E6" s="44">
        <v>855</v>
      </c>
      <c r="F6" s="46">
        <f t="shared" si="1"/>
        <v>10624</v>
      </c>
      <c r="G6" s="32">
        <f>B6/$F$6</f>
        <v>6.8712349397590357E-3</v>
      </c>
      <c r="H6" s="32">
        <f>C6/$F$6</f>
        <v>0.99312876506024095</v>
      </c>
      <c r="I6" s="32"/>
      <c r="J6" s="32"/>
      <c r="K6" s="32"/>
      <c r="L6" s="32"/>
      <c r="M6" s="32"/>
      <c r="AK6" s="30"/>
    </row>
    <row r="7" spans="1:61" x14ac:dyDescent="0.2">
      <c r="A7" s="43" t="s">
        <v>68</v>
      </c>
      <c r="B7" s="44">
        <v>1968</v>
      </c>
      <c r="C7" s="45">
        <f t="shared" si="0"/>
        <v>10007</v>
      </c>
      <c r="D7" s="44">
        <v>10007</v>
      </c>
      <c r="E7" s="44"/>
      <c r="F7" s="46">
        <f>B7+C7</f>
        <v>11975</v>
      </c>
      <c r="G7" s="32"/>
      <c r="H7" s="32">
        <f>D6/$C$6</f>
        <v>0.91896502701165761</v>
      </c>
      <c r="I7" s="32">
        <f>E6/$C$6</f>
        <v>8.1034972988342335E-2</v>
      </c>
    </row>
    <row r="8" spans="1:61" x14ac:dyDescent="0.2">
      <c r="A8" s="43" t="s">
        <v>69</v>
      </c>
      <c r="B8" s="44"/>
      <c r="C8" s="45">
        <f t="shared" si="0"/>
        <v>0</v>
      </c>
      <c r="D8" s="44"/>
      <c r="E8" s="44"/>
      <c r="F8" s="46">
        <f t="shared" si="1"/>
        <v>0</v>
      </c>
      <c r="G8" s="32"/>
      <c r="H8" s="32"/>
      <c r="I8" s="32"/>
      <c r="J8" s="32"/>
      <c r="K8" s="32"/>
    </row>
    <row r="9" spans="1:61" x14ac:dyDescent="0.2">
      <c r="A9" s="43" t="s">
        <v>70</v>
      </c>
      <c r="B9" s="44"/>
      <c r="C9" s="45">
        <f>D9+E9</f>
        <v>0</v>
      </c>
      <c r="D9" s="44"/>
      <c r="E9" s="44"/>
      <c r="F9" s="46">
        <f t="shared" si="1"/>
        <v>0</v>
      </c>
      <c r="G9" s="32"/>
      <c r="H9" s="32"/>
      <c r="I9" s="32"/>
      <c r="J9" s="32"/>
      <c r="K9" s="32"/>
    </row>
    <row r="10" spans="1:61" x14ac:dyDescent="0.2">
      <c r="A10" s="47" t="s">
        <v>71</v>
      </c>
      <c r="B10" s="44"/>
      <c r="C10" s="45">
        <f>D10+E10</f>
        <v>0</v>
      </c>
      <c r="D10" s="44"/>
      <c r="E10" s="44"/>
      <c r="F10" s="46">
        <f>B10+C10</f>
        <v>0</v>
      </c>
      <c r="G10" s="32"/>
      <c r="H10" s="32"/>
      <c r="I10" s="32"/>
      <c r="J10" s="32"/>
      <c r="K10" s="32"/>
    </row>
    <row r="11" spans="1:61" x14ac:dyDescent="0.2">
      <c r="A11" s="47" t="s">
        <v>72</v>
      </c>
      <c r="B11" s="44"/>
      <c r="C11" s="45">
        <f>D11+E11</f>
        <v>0</v>
      </c>
      <c r="D11" s="44"/>
      <c r="E11" s="44"/>
      <c r="F11" s="46">
        <f>B11+C11</f>
        <v>0</v>
      </c>
      <c r="G11" s="32"/>
      <c r="H11" s="32"/>
      <c r="I11" s="32"/>
      <c r="J11" s="48"/>
      <c r="K11" s="48"/>
    </row>
    <row r="12" spans="1:61" ht="15.75" x14ac:dyDescent="0.25">
      <c r="A12" s="47" t="s">
        <v>73</v>
      </c>
      <c r="B12" s="325"/>
      <c r="C12" s="45">
        <f>D12+E12</f>
        <v>0</v>
      </c>
      <c r="D12" s="44"/>
      <c r="E12" s="44"/>
      <c r="F12" s="46">
        <f>B12+C12</f>
        <v>0</v>
      </c>
      <c r="G12" s="32"/>
      <c r="H12" s="32"/>
      <c r="I12" s="32"/>
      <c r="J12" s="48"/>
      <c r="K12" s="48"/>
      <c r="AK12" s="30"/>
    </row>
    <row r="13" spans="1:61" x14ac:dyDescent="0.2">
      <c r="A13" s="47" t="s">
        <v>74</v>
      </c>
      <c r="B13" s="44"/>
      <c r="C13" s="45">
        <f t="shared" si="0"/>
        <v>0</v>
      </c>
      <c r="D13" s="44"/>
      <c r="E13" s="44"/>
      <c r="F13" s="46">
        <f t="shared" si="1"/>
        <v>0</v>
      </c>
      <c r="G13" s="32"/>
      <c r="H13" s="32"/>
      <c r="I13" s="32"/>
      <c r="J13" s="48"/>
      <c r="K13" s="48"/>
    </row>
    <row r="14" spans="1:61" x14ac:dyDescent="0.2">
      <c r="A14" s="47" t="s">
        <v>75</v>
      </c>
      <c r="B14" s="44"/>
      <c r="C14" s="45">
        <f t="shared" si="0"/>
        <v>0</v>
      </c>
      <c r="D14" s="44"/>
      <c r="E14" s="44"/>
      <c r="F14" s="46">
        <f t="shared" si="1"/>
        <v>0</v>
      </c>
      <c r="G14" s="32"/>
      <c r="H14" s="32"/>
      <c r="I14" s="32"/>
      <c r="J14" s="48"/>
    </row>
    <row r="15" spans="1:61" x14ac:dyDescent="0.2">
      <c r="A15" s="47" t="s">
        <v>76</v>
      </c>
      <c r="B15" s="44"/>
      <c r="C15" s="45">
        <f t="shared" si="0"/>
        <v>0</v>
      </c>
      <c r="D15" s="44"/>
      <c r="E15" s="44"/>
      <c r="F15" s="46">
        <f t="shared" si="1"/>
        <v>0</v>
      </c>
      <c r="G15" s="32"/>
      <c r="H15" s="32"/>
      <c r="I15" s="32"/>
    </row>
    <row r="16" spans="1:61" ht="15.75" thickBot="1" x14ac:dyDescent="0.25">
      <c r="A16" s="49" t="s">
        <v>0</v>
      </c>
      <c r="B16" s="50">
        <f>SUM(B4:B15)</f>
        <v>4792</v>
      </c>
      <c r="C16" s="50">
        <f>SUM(C4:C15)</f>
        <v>33998</v>
      </c>
      <c r="D16" s="50">
        <f>SUM(D4:D15)</f>
        <v>30594</v>
      </c>
      <c r="E16" s="50">
        <f>SUM(E4:E15)</f>
        <v>3404</v>
      </c>
      <c r="F16" s="51">
        <f t="shared" si="1"/>
        <v>38790</v>
      </c>
      <c r="G16" s="32"/>
      <c r="H16" s="32"/>
      <c r="I16" s="32"/>
    </row>
    <row r="17" spans="1:61" s="35" customFormat="1" ht="21" customHeight="1" thickBot="1" x14ac:dyDescent="0.25">
      <c r="A17" s="342" t="s">
        <v>200</v>
      </c>
      <c r="B17" s="343"/>
      <c r="C17" s="343"/>
      <c r="D17" s="343"/>
      <c r="E17" s="343"/>
      <c r="F17" s="344"/>
      <c r="G17" s="32"/>
      <c r="H17" s="32"/>
      <c r="I17" s="32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</row>
    <row r="18" spans="1:61" ht="15.75" thickBot="1" x14ac:dyDescent="0.25">
      <c r="A18" s="52"/>
      <c r="B18" s="53" t="s">
        <v>77</v>
      </c>
      <c r="C18" s="53" t="s">
        <v>78</v>
      </c>
      <c r="D18" s="53" t="s">
        <v>63</v>
      </c>
      <c r="E18" s="53" t="s">
        <v>64</v>
      </c>
      <c r="F18" s="38" t="s">
        <v>0</v>
      </c>
      <c r="G18" s="32"/>
      <c r="H18" s="32"/>
      <c r="I18" s="32"/>
      <c r="J18" s="54"/>
    </row>
    <row r="19" spans="1:61" x14ac:dyDescent="0.2">
      <c r="A19" s="55" t="s">
        <v>65</v>
      </c>
      <c r="B19" s="56">
        <v>1615</v>
      </c>
      <c r="C19" s="57">
        <f t="shared" ref="C19:C30" si="2">D19+E19</f>
        <v>8348</v>
      </c>
      <c r="D19" s="56">
        <v>7151</v>
      </c>
      <c r="E19" s="56">
        <f>1178*0+(1197)</f>
        <v>1197</v>
      </c>
      <c r="F19" s="58">
        <f>B19+C19</f>
        <v>9963</v>
      </c>
      <c r="G19" s="32"/>
      <c r="H19" s="32"/>
      <c r="I19" s="32"/>
      <c r="J19" s="32"/>
      <c r="K19" s="32"/>
    </row>
    <row r="20" spans="1:61" x14ac:dyDescent="0.2">
      <c r="A20" s="43" t="s">
        <v>66</v>
      </c>
      <c r="B20" s="44">
        <v>765</v>
      </c>
      <c r="C20" s="45">
        <f t="shared" si="2"/>
        <v>5301</v>
      </c>
      <c r="D20" s="44">
        <v>3959</v>
      </c>
      <c r="E20" s="44">
        <v>1342</v>
      </c>
      <c r="F20" s="46">
        <f t="shared" ref="F20:F31" si="3">B20+C20</f>
        <v>6066</v>
      </c>
      <c r="G20" s="32"/>
      <c r="H20" s="32"/>
      <c r="I20" s="32"/>
      <c r="J20" s="32"/>
      <c r="K20" s="32"/>
      <c r="AK20" s="30"/>
    </row>
    <row r="21" spans="1:61" x14ac:dyDescent="0.2">
      <c r="A21" s="43" t="s">
        <v>67</v>
      </c>
      <c r="B21" s="44">
        <v>135</v>
      </c>
      <c r="C21" s="45">
        <f t="shared" si="2"/>
        <v>9982</v>
      </c>
      <c r="D21" s="44">
        <v>9124</v>
      </c>
      <c r="E21" s="44">
        <v>858</v>
      </c>
      <c r="F21" s="46">
        <f t="shared" si="3"/>
        <v>10117</v>
      </c>
      <c r="G21" s="32">
        <f>B21/$F$21</f>
        <v>1.3343876643273698E-2</v>
      </c>
      <c r="H21" s="32">
        <f>C21/$F$21</f>
        <v>0.98665612335672626</v>
      </c>
      <c r="I21" s="32"/>
      <c r="J21" s="59"/>
      <c r="AK21" s="30"/>
    </row>
    <row r="22" spans="1:61" x14ac:dyDescent="0.2">
      <c r="A22" s="43" t="s">
        <v>68</v>
      </c>
      <c r="B22" s="44">
        <v>2166</v>
      </c>
      <c r="C22" s="45">
        <f t="shared" si="2"/>
        <v>10638</v>
      </c>
      <c r="D22" s="44">
        <v>10638</v>
      </c>
      <c r="E22" s="44"/>
      <c r="F22" s="46">
        <f t="shared" si="3"/>
        <v>12804</v>
      </c>
      <c r="G22" s="32"/>
      <c r="H22" s="32">
        <f>D21/$C$21</f>
        <v>0.91404528150671205</v>
      </c>
      <c r="I22" s="32">
        <f>E21/$C$21</f>
        <v>8.5954718493287924E-2</v>
      </c>
      <c r="J22" s="54"/>
    </row>
    <row r="23" spans="1:61" x14ac:dyDescent="0.2">
      <c r="A23" s="43" t="s">
        <v>69</v>
      </c>
      <c r="B23" s="44"/>
      <c r="C23" s="45">
        <f t="shared" si="2"/>
        <v>0</v>
      </c>
      <c r="D23" s="44"/>
      <c r="E23" s="44"/>
      <c r="F23" s="46">
        <f>B23+C23</f>
        <v>0</v>
      </c>
      <c r="G23" s="32"/>
      <c r="H23" s="32"/>
      <c r="I23" s="32"/>
      <c r="J23" s="32"/>
      <c r="K23" s="32"/>
      <c r="L23" s="32"/>
    </row>
    <row r="24" spans="1:61" x14ac:dyDescent="0.2">
      <c r="A24" s="43" t="s">
        <v>70</v>
      </c>
      <c r="B24" s="44"/>
      <c r="C24" s="45">
        <f t="shared" si="2"/>
        <v>0</v>
      </c>
      <c r="D24" s="44"/>
      <c r="E24" s="44"/>
      <c r="F24" s="46">
        <f t="shared" si="3"/>
        <v>0</v>
      </c>
      <c r="G24" s="32"/>
      <c r="H24" s="32"/>
      <c r="I24" s="32"/>
      <c r="J24" s="32"/>
      <c r="K24" s="32"/>
    </row>
    <row r="25" spans="1:61" x14ac:dyDescent="0.2">
      <c r="A25" s="47" t="s">
        <v>71</v>
      </c>
      <c r="B25" s="44"/>
      <c r="C25" s="45">
        <f t="shared" si="2"/>
        <v>0</v>
      </c>
      <c r="D25" s="44"/>
      <c r="E25" s="44"/>
      <c r="F25" s="46">
        <f t="shared" si="3"/>
        <v>0</v>
      </c>
      <c r="G25" s="32"/>
      <c r="H25" s="32"/>
      <c r="I25" s="32"/>
      <c r="J25" s="32"/>
      <c r="K25" s="32"/>
    </row>
    <row r="26" spans="1:61" x14ac:dyDescent="0.2">
      <c r="A26" s="47" t="s">
        <v>72</v>
      </c>
      <c r="B26" s="44"/>
      <c r="C26" s="45">
        <f t="shared" si="2"/>
        <v>0</v>
      </c>
      <c r="D26" s="44"/>
      <c r="E26" s="44"/>
      <c r="F26" s="46">
        <f t="shared" si="3"/>
        <v>0</v>
      </c>
      <c r="G26" s="32"/>
      <c r="H26" s="32"/>
      <c r="I26" s="32"/>
      <c r="J26" s="48"/>
      <c r="K26" s="48"/>
    </row>
    <row r="27" spans="1:61" x14ac:dyDescent="0.2">
      <c r="A27" s="47" t="s">
        <v>73</v>
      </c>
      <c r="B27" s="44"/>
      <c r="C27" s="45">
        <f t="shared" si="2"/>
        <v>0</v>
      </c>
      <c r="D27" s="44"/>
      <c r="E27" s="326"/>
      <c r="F27" s="46">
        <f t="shared" si="3"/>
        <v>0</v>
      </c>
      <c r="G27" s="32"/>
      <c r="H27" s="32"/>
      <c r="I27" s="32"/>
      <c r="J27" s="48"/>
      <c r="K27" s="48"/>
    </row>
    <row r="28" spans="1:61" x14ac:dyDescent="0.2">
      <c r="A28" s="47" t="s">
        <v>74</v>
      </c>
      <c r="B28" s="44"/>
      <c r="C28" s="45">
        <f t="shared" si="2"/>
        <v>0</v>
      </c>
      <c r="D28" s="44"/>
      <c r="E28" s="44"/>
      <c r="F28" s="46">
        <f>B28+C28</f>
        <v>0</v>
      </c>
      <c r="G28" s="32"/>
      <c r="H28" s="32"/>
      <c r="I28" s="32"/>
      <c r="J28" s="48"/>
      <c r="K28" s="48"/>
    </row>
    <row r="29" spans="1:61" x14ac:dyDescent="0.2">
      <c r="A29" s="47" t="s">
        <v>75</v>
      </c>
      <c r="B29" s="44"/>
      <c r="C29" s="45">
        <f t="shared" si="2"/>
        <v>0</v>
      </c>
      <c r="D29" s="44"/>
      <c r="E29" s="44"/>
      <c r="F29" s="46">
        <f t="shared" si="3"/>
        <v>0</v>
      </c>
      <c r="G29" s="32"/>
      <c r="H29" s="32"/>
      <c r="I29" s="32"/>
    </row>
    <row r="30" spans="1:61" x14ac:dyDescent="0.2">
      <c r="A30" s="47" t="s">
        <v>76</v>
      </c>
      <c r="B30" s="44"/>
      <c r="C30" s="45">
        <f t="shared" si="2"/>
        <v>0</v>
      </c>
      <c r="D30" s="44"/>
      <c r="E30" s="44"/>
      <c r="F30" s="46">
        <f>B30+C30</f>
        <v>0</v>
      </c>
      <c r="G30" s="32"/>
      <c r="H30" s="32"/>
      <c r="I30" s="32"/>
    </row>
    <row r="31" spans="1:61" ht="15.75" thickBot="1" x14ac:dyDescent="0.25">
      <c r="A31" s="60" t="s">
        <v>0</v>
      </c>
      <c r="B31" s="61">
        <f>SUM(B19:B30)</f>
        <v>4681</v>
      </c>
      <c r="C31" s="61">
        <f>SUM(C19:C30)</f>
        <v>34269</v>
      </c>
      <c r="D31" s="61">
        <f>SUM(D19:D30)</f>
        <v>30872</v>
      </c>
      <c r="E31" s="61">
        <f>SUM(E19:E30)</f>
        <v>3397</v>
      </c>
      <c r="F31" s="62">
        <f t="shared" si="3"/>
        <v>38950</v>
      </c>
      <c r="G31" s="32"/>
      <c r="H31" s="32"/>
      <c r="I31" s="32"/>
    </row>
    <row r="32" spans="1:61" s="35" customFormat="1" x14ac:dyDescent="0.2">
      <c r="A32" s="63" t="s">
        <v>79</v>
      </c>
      <c r="B32" s="64"/>
      <c r="C32" s="64"/>
      <c r="D32" s="64"/>
      <c r="E32" s="64"/>
      <c r="F32" s="65"/>
      <c r="G32" s="32"/>
      <c r="H32" s="32"/>
      <c r="I32" s="32"/>
      <c r="J32" s="33"/>
      <c r="K32" s="33"/>
      <c r="L32" s="33"/>
      <c r="M32" s="33"/>
      <c r="N32" s="33"/>
      <c r="O32" s="33"/>
      <c r="P32" s="29"/>
      <c r="Q32" s="29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</row>
    <row r="33" spans="1:61" s="35" customFormat="1" ht="15.75" thickBot="1" x14ac:dyDescent="0.25">
      <c r="A33" s="66" t="s">
        <v>80</v>
      </c>
      <c r="B33" s="67"/>
      <c r="C33" s="67"/>
      <c r="D33" s="67"/>
      <c r="E33" s="67"/>
      <c r="F33" s="68"/>
      <c r="G33" s="32"/>
      <c r="H33" s="32"/>
      <c r="I33" s="32"/>
      <c r="J33" s="33"/>
      <c r="K33" s="33"/>
      <c r="L33" s="33"/>
      <c r="M33" s="33"/>
      <c r="N33" s="33"/>
      <c r="O33" s="33"/>
      <c r="P33" s="29"/>
      <c r="Q33" s="29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</row>
    <row r="34" spans="1:61" ht="15.75" thickBot="1" x14ac:dyDescent="0.25">
      <c r="A34" s="52"/>
      <c r="B34" s="53" t="s">
        <v>77</v>
      </c>
      <c r="C34" s="53" t="s">
        <v>78</v>
      </c>
      <c r="D34" s="53" t="s">
        <v>63</v>
      </c>
      <c r="E34" s="53" t="s">
        <v>64</v>
      </c>
      <c r="F34" s="69" t="s">
        <v>0</v>
      </c>
      <c r="G34" s="32"/>
      <c r="H34" s="32"/>
      <c r="I34" s="32"/>
    </row>
    <row r="35" spans="1:61" x14ac:dyDescent="0.2">
      <c r="A35" s="39" t="s">
        <v>65</v>
      </c>
      <c r="B35" s="40">
        <f>334+336</f>
        <v>670</v>
      </c>
      <c r="C35" s="41">
        <f t="shared" ref="C35:C46" si="4">D35+E35</f>
        <v>4099</v>
      </c>
      <c r="D35" s="40">
        <f>1511+1374</f>
        <v>2885</v>
      </c>
      <c r="E35" s="40">
        <f>(560+635)*0+570+644</f>
        <v>1214</v>
      </c>
      <c r="F35" s="42">
        <f t="shared" ref="F35:F47" si="5">B35+C35</f>
        <v>4769</v>
      </c>
      <c r="G35" s="32">
        <f>F35/F95</f>
        <v>0.95686195826645259</v>
      </c>
      <c r="H35" s="32"/>
      <c r="I35" s="32"/>
    </row>
    <row r="36" spans="1:61" x14ac:dyDescent="0.2">
      <c r="A36" s="43" t="s">
        <v>66</v>
      </c>
      <c r="B36" s="44">
        <f>344+389</f>
        <v>733</v>
      </c>
      <c r="C36" s="45">
        <f t="shared" si="4"/>
        <v>4595</v>
      </c>
      <c r="D36" s="40">
        <f>1689+1571</f>
        <v>3260</v>
      </c>
      <c r="E36" s="44">
        <f>653+682</f>
        <v>1335</v>
      </c>
      <c r="F36" s="46">
        <f t="shared" si="5"/>
        <v>5328</v>
      </c>
      <c r="G36" s="32">
        <f t="shared" ref="G36:G37" si="6">F36/F96</f>
        <v>0.96017300414489093</v>
      </c>
      <c r="H36" s="32"/>
      <c r="I36" s="32"/>
    </row>
    <row r="37" spans="1:61" x14ac:dyDescent="0.2">
      <c r="A37" s="43" t="s">
        <v>67</v>
      </c>
      <c r="B37" s="44">
        <f>33+24</f>
        <v>57</v>
      </c>
      <c r="C37" s="45">
        <f t="shared" si="4"/>
        <v>5237</v>
      </c>
      <c r="D37" s="44">
        <f>2129+2253</f>
        <v>4382</v>
      </c>
      <c r="E37" s="44">
        <f>415+440</f>
        <v>855</v>
      </c>
      <c r="F37" s="46">
        <f t="shared" si="5"/>
        <v>5294</v>
      </c>
      <c r="G37" s="32">
        <f t="shared" si="6"/>
        <v>0.98218923933209645</v>
      </c>
      <c r="H37" s="32"/>
      <c r="I37" s="32"/>
    </row>
    <row r="38" spans="1:61" x14ac:dyDescent="0.2">
      <c r="A38" s="43" t="s">
        <v>68</v>
      </c>
      <c r="B38" s="44">
        <f>434+467</f>
        <v>901</v>
      </c>
      <c r="C38" s="45">
        <f t="shared" si="4"/>
        <v>4463</v>
      </c>
      <c r="D38" s="44">
        <f>2174+2289</f>
        <v>4463</v>
      </c>
      <c r="E38" s="44"/>
      <c r="F38" s="46">
        <f t="shared" si="5"/>
        <v>5364</v>
      </c>
      <c r="G38" s="32"/>
      <c r="H38" s="32"/>
      <c r="I38" s="32"/>
    </row>
    <row r="39" spans="1:61" x14ac:dyDescent="0.2">
      <c r="A39" s="43" t="s">
        <v>69</v>
      </c>
      <c r="B39" s="44"/>
      <c r="C39" s="45">
        <f t="shared" si="4"/>
        <v>0</v>
      </c>
      <c r="D39" s="44"/>
      <c r="E39" s="44"/>
      <c r="F39" s="46">
        <f t="shared" si="5"/>
        <v>0</v>
      </c>
      <c r="G39" s="32"/>
      <c r="H39" s="32"/>
      <c r="I39" s="32"/>
    </row>
    <row r="40" spans="1:61" x14ac:dyDescent="0.2">
      <c r="A40" s="43" t="s">
        <v>70</v>
      </c>
      <c r="B40" s="44"/>
      <c r="C40" s="45">
        <f t="shared" si="4"/>
        <v>0</v>
      </c>
      <c r="D40" s="44"/>
      <c r="E40" s="44"/>
      <c r="F40" s="46">
        <f t="shared" si="5"/>
        <v>0</v>
      </c>
      <c r="G40" s="32"/>
      <c r="H40" s="32"/>
      <c r="I40" s="32"/>
    </row>
    <row r="41" spans="1:61" x14ac:dyDescent="0.2">
      <c r="A41" s="47" t="s">
        <v>71</v>
      </c>
      <c r="B41" s="44"/>
      <c r="C41" s="45">
        <f t="shared" si="4"/>
        <v>0</v>
      </c>
      <c r="D41" s="44"/>
      <c r="E41" s="44"/>
      <c r="F41" s="46">
        <f t="shared" si="5"/>
        <v>0</v>
      </c>
      <c r="G41" s="32"/>
      <c r="H41" s="32"/>
      <c r="I41" s="32"/>
    </row>
    <row r="42" spans="1:61" x14ac:dyDescent="0.2">
      <c r="A42" s="47" t="s">
        <v>72</v>
      </c>
      <c r="B42" s="44"/>
      <c r="C42" s="45">
        <f t="shared" si="4"/>
        <v>0</v>
      </c>
      <c r="D42" s="44"/>
      <c r="E42" s="44"/>
      <c r="F42" s="46">
        <f t="shared" si="5"/>
        <v>0</v>
      </c>
      <c r="G42" s="32"/>
      <c r="H42" s="32"/>
      <c r="I42" s="32"/>
    </row>
    <row r="43" spans="1:61" x14ac:dyDescent="0.2">
      <c r="A43" s="47" t="s">
        <v>73</v>
      </c>
      <c r="B43" s="44"/>
      <c r="C43" s="45">
        <f t="shared" si="4"/>
        <v>0</v>
      </c>
      <c r="D43" s="44"/>
      <c r="E43" s="44"/>
      <c r="F43" s="46">
        <f t="shared" si="5"/>
        <v>0</v>
      </c>
      <c r="G43" s="32"/>
      <c r="H43" s="32"/>
      <c r="I43" s="32"/>
    </row>
    <row r="44" spans="1:61" x14ac:dyDescent="0.2">
      <c r="A44" s="47" t="s">
        <v>74</v>
      </c>
      <c r="B44" s="44"/>
      <c r="C44" s="45">
        <f t="shared" si="4"/>
        <v>0</v>
      </c>
      <c r="D44" s="44"/>
      <c r="E44" s="44"/>
      <c r="F44" s="46">
        <f t="shared" si="5"/>
        <v>0</v>
      </c>
      <c r="G44" s="32"/>
      <c r="H44" s="32"/>
      <c r="I44" s="32"/>
    </row>
    <row r="45" spans="1:61" x14ac:dyDescent="0.2">
      <c r="A45" s="47" t="s">
        <v>75</v>
      </c>
      <c r="B45" s="44"/>
      <c r="C45" s="45">
        <f t="shared" si="4"/>
        <v>0</v>
      </c>
      <c r="D45" s="44"/>
      <c r="E45" s="44"/>
      <c r="F45" s="46">
        <f t="shared" si="5"/>
        <v>0</v>
      </c>
      <c r="G45" s="32"/>
      <c r="H45" s="32"/>
      <c r="I45" s="32"/>
    </row>
    <row r="46" spans="1:61" x14ac:dyDescent="0.2">
      <c r="A46" s="47" t="s">
        <v>76</v>
      </c>
      <c r="B46" s="44"/>
      <c r="C46" s="45">
        <f t="shared" si="4"/>
        <v>0</v>
      </c>
      <c r="D46" s="44"/>
      <c r="E46" s="44"/>
      <c r="F46" s="46">
        <f t="shared" si="5"/>
        <v>0</v>
      </c>
      <c r="G46" s="32"/>
      <c r="H46" s="32"/>
      <c r="I46" s="32"/>
    </row>
    <row r="47" spans="1:61" ht="15.75" thickBot="1" x14ac:dyDescent="0.25">
      <c r="A47" s="60" t="s">
        <v>0</v>
      </c>
      <c r="B47" s="61">
        <f>SUM(B35:B46)</f>
        <v>2361</v>
      </c>
      <c r="C47" s="61">
        <f>SUM(C35:C46)</f>
        <v>18394</v>
      </c>
      <c r="D47" s="61">
        <f>SUM(D35:D46)</f>
        <v>14990</v>
      </c>
      <c r="E47" s="61">
        <f>SUM(E35:E46)</f>
        <v>3404</v>
      </c>
      <c r="F47" s="62">
        <f t="shared" si="5"/>
        <v>20755</v>
      </c>
      <c r="G47" s="32"/>
      <c r="H47" s="32"/>
      <c r="I47" s="32"/>
    </row>
    <row r="48" spans="1:61" s="35" customFormat="1" ht="22.5" customHeight="1" thickBot="1" x14ac:dyDescent="0.25">
      <c r="A48" s="71" t="s">
        <v>81</v>
      </c>
      <c r="B48" s="64"/>
      <c r="C48" s="64"/>
      <c r="D48" s="64"/>
      <c r="E48" s="64"/>
      <c r="F48" s="65"/>
      <c r="G48" s="32"/>
      <c r="H48" s="32"/>
      <c r="I48" s="32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</row>
    <row r="49" spans="1:61" ht="15.75" thickBot="1" x14ac:dyDescent="0.25">
      <c r="A49" s="52"/>
      <c r="B49" s="53" t="s">
        <v>77</v>
      </c>
      <c r="C49" s="53" t="s">
        <v>78</v>
      </c>
      <c r="D49" s="53" t="s">
        <v>63</v>
      </c>
      <c r="E49" s="53" t="s">
        <v>64</v>
      </c>
      <c r="F49" s="72" t="s">
        <v>0</v>
      </c>
      <c r="G49" s="32"/>
      <c r="H49" s="32"/>
      <c r="I49" s="32"/>
    </row>
    <row r="50" spans="1:61" x14ac:dyDescent="0.2">
      <c r="A50" s="39" t="s">
        <v>65</v>
      </c>
      <c r="B50" s="73">
        <f>88+23</f>
        <v>111</v>
      </c>
      <c r="C50" s="74">
        <f t="shared" ref="C50:C61" si="7">D50+E50</f>
        <v>104</v>
      </c>
      <c r="D50" s="73">
        <f>90+14</f>
        <v>104</v>
      </c>
      <c r="E50" s="73">
        <v>0</v>
      </c>
      <c r="F50" s="75">
        <f t="shared" ref="F50:F62" si="8">B50+C50</f>
        <v>215</v>
      </c>
      <c r="G50" s="32">
        <f>F50/F95</f>
        <v>4.313804173354735E-2</v>
      </c>
      <c r="H50" s="32"/>
      <c r="I50" s="32"/>
    </row>
    <row r="51" spans="1:61" x14ac:dyDescent="0.2">
      <c r="A51" s="43" t="s">
        <v>66</v>
      </c>
      <c r="B51" s="76">
        <f>112+28</f>
        <v>140</v>
      </c>
      <c r="C51" s="77">
        <f t="shared" si="7"/>
        <v>81</v>
      </c>
      <c r="D51" s="76">
        <f>60+21</f>
        <v>81</v>
      </c>
      <c r="E51" s="76">
        <v>0</v>
      </c>
      <c r="F51" s="78">
        <f t="shared" si="8"/>
        <v>221</v>
      </c>
      <c r="G51" s="32">
        <f t="shared" ref="G51:G52" si="9">F51/F96</f>
        <v>3.9826995855109029E-2</v>
      </c>
      <c r="H51" s="32"/>
      <c r="I51" s="32"/>
    </row>
    <row r="52" spans="1:61" x14ac:dyDescent="0.2">
      <c r="A52" s="43" t="s">
        <v>67</v>
      </c>
      <c r="B52" s="76">
        <f>1+0</f>
        <v>1</v>
      </c>
      <c r="C52" s="77">
        <f t="shared" si="7"/>
        <v>95</v>
      </c>
      <c r="D52" s="76">
        <f>82+13</f>
        <v>95</v>
      </c>
      <c r="E52" s="76">
        <v>0</v>
      </c>
      <c r="F52" s="78">
        <f t="shared" si="8"/>
        <v>96</v>
      </c>
      <c r="G52" s="32">
        <f t="shared" si="9"/>
        <v>1.7810760667903526E-2</v>
      </c>
      <c r="H52" s="32"/>
      <c r="I52" s="32"/>
    </row>
    <row r="53" spans="1:61" x14ac:dyDescent="0.2">
      <c r="A53" s="43" t="s">
        <v>68</v>
      </c>
      <c r="B53" s="76">
        <f>81+19</f>
        <v>100</v>
      </c>
      <c r="C53" s="77">
        <f t="shared" si="7"/>
        <v>72</v>
      </c>
      <c r="D53" s="76">
        <f>60+12</f>
        <v>72</v>
      </c>
      <c r="E53" s="76"/>
      <c r="F53" s="78">
        <f t="shared" si="8"/>
        <v>172</v>
      </c>
      <c r="G53" s="32"/>
      <c r="H53" s="32"/>
      <c r="I53" s="32"/>
    </row>
    <row r="54" spans="1:61" x14ac:dyDescent="0.2">
      <c r="A54" s="43" t="s">
        <v>69</v>
      </c>
      <c r="B54" s="76"/>
      <c r="C54" s="77">
        <f t="shared" si="7"/>
        <v>0</v>
      </c>
      <c r="D54" s="76"/>
      <c r="E54" s="76"/>
      <c r="F54" s="78">
        <f t="shared" si="8"/>
        <v>0</v>
      </c>
      <c r="G54" s="32"/>
      <c r="H54" s="32"/>
      <c r="I54" s="32"/>
    </row>
    <row r="55" spans="1:61" x14ac:dyDescent="0.2">
      <c r="A55" s="43" t="s">
        <v>70</v>
      </c>
      <c r="B55" s="76"/>
      <c r="C55" s="77">
        <f t="shared" si="7"/>
        <v>0</v>
      </c>
      <c r="D55" s="76"/>
      <c r="E55" s="76"/>
      <c r="F55" s="78">
        <f t="shared" si="8"/>
        <v>0</v>
      </c>
      <c r="G55" s="32"/>
      <c r="H55" s="32"/>
    </row>
    <row r="56" spans="1:61" x14ac:dyDescent="0.2">
      <c r="A56" s="47" t="s">
        <v>71</v>
      </c>
      <c r="B56" s="327"/>
      <c r="C56" s="77">
        <f t="shared" si="7"/>
        <v>0</v>
      </c>
      <c r="D56" s="327"/>
      <c r="E56" s="327"/>
      <c r="F56" s="78">
        <f t="shared" si="8"/>
        <v>0</v>
      </c>
      <c r="G56" s="32"/>
      <c r="H56" s="32"/>
    </row>
    <row r="57" spans="1:61" x14ac:dyDescent="0.2">
      <c r="A57" s="47" t="s">
        <v>72</v>
      </c>
      <c r="B57" s="327"/>
      <c r="C57" s="77">
        <f t="shared" si="7"/>
        <v>0</v>
      </c>
      <c r="D57" s="327"/>
      <c r="E57" s="327"/>
      <c r="F57" s="78">
        <f t="shared" si="8"/>
        <v>0</v>
      </c>
      <c r="G57" s="32"/>
      <c r="H57" s="32"/>
    </row>
    <row r="58" spans="1:61" x14ac:dyDescent="0.2">
      <c r="A58" s="47" t="s">
        <v>73</v>
      </c>
      <c r="B58" s="327"/>
      <c r="C58" s="77">
        <f t="shared" si="7"/>
        <v>0</v>
      </c>
      <c r="D58" s="44"/>
      <c r="E58" s="327"/>
      <c r="F58" s="78">
        <f t="shared" si="8"/>
        <v>0</v>
      </c>
      <c r="G58" s="32"/>
      <c r="H58" s="32"/>
    </row>
    <row r="59" spans="1:61" x14ac:dyDescent="0.2">
      <c r="A59" s="47" t="s">
        <v>74</v>
      </c>
      <c r="B59" s="76"/>
      <c r="C59" s="77">
        <f t="shared" si="7"/>
        <v>0</v>
      </c>
      <c r="D59" s="44"/>
      <c r="E59" s="76"/>
      <c r="F59" s="78">
        <f t="shared" si="8"/>
        <v>0</v>
      </c>
      <c r="G59" s="32"/>
      <c r="H59" s="32"/>
    </row>
    <row r="60" spans="1:61" x14ac:dyDescent="0.2">
      <c r="A60" s="47" t="s">
        <v>75</v>
      </c>
      <c r="B60" s="76"/>
      <c r="C60" s="77">
        <f t="shared" si="7"/>
        <v>0</v>
      </c>
      <c r="D60" s="44"/>
      <c r="E60" s="76"/>
      <c r="F60" s="78">
        <f t="shared" si="8"/>
        <v>0</v>
      </c>
      <c r="G60" s="32"/>
      <c r="H60" s="32"/>
    </row>
    <row r="61" spans="1:61" x14ac:dyDescent="0.2">
      <c r="A61" s="47" t="s">
        <v>76</v>
      </c>
      <c r="B61" s="76"/>
      <c r="C61" s="77">
        <f t="shared" si="7"/>
        <v>0</v>
      </c>
      <c r="D61" s="76"/>
      <c r="E61" s="76"/>
      <c r="F61" s="78">
        <f t="shared" si="8"/>
        <v>0</v>
      </c>
      <c r="G61" s="32"/>
    </row>
    <row r="62" spans="1:61" ht="15.75" thickBot="1" x14ac:dyDescent="0.25">
      <c r="A62" s="60" t="s">
        <v>0</v>
      </c>
      <c r="B62" s="61">
        <f>SUM(B50:B61)</f>
        <v>352</v>
      </c>
      <c r="C62" s="61">
        <f>SUM(C50:C61)</f>
        <v>352</v>
      </c>
      <c r="D62" s="61">
        <f>SUM(D50:D61)</f>
        <v>352</v>
      </c>
      <c r="E62" s="79">
        <f>SUM(E50:E61)</f>
        <v>0</v>
      </c>
      <c r="F62" s="61">
        <f t="shared" si="8"/>
        <v>704</v>
      </c>
      <c r="G62" s="70"/>
    </row>
    <row r="63" spans="1:61" s="35" customFormat="1" ht="25.5" customHeight="1" thickBot="1" x14ac:dyDescent="0.25">
      <c r="A63" s="80" t="s">
        <v>82</v>
      </c>
      <c r="B63" s="64"/>
      <c r="C63" s="64"/>
      <c r="D63" s="64"/>
      <c r="E63" s="64"/>
      <c r="F63" s="65"/>
      <c r="G63" s="33"/>
      <c r="H63" s="29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</row>
    <row r="64" spans="1:61" ht="15.75" thickBot="1" x14ac:dyDescent="0.25">
      <c r="A64" s="81"/>
      <c r="B64" s="82" t="s">
        <v>77</v>
      </c>
      <c r="C64" s="82" t="s">
        <v>78</v>
      </c>
      <c r="D64" s="82" t="s">
        <v>63</v>
      </c>
      <c r="E64" s="82" t="s">
        <v>64</v>
      </c>
      <c r="F64" s="72" t="s">
        <v>0</v>
      </c>
      <c r="H64" s="33"/>
    </row>
    <row r="65" spans="1:11" x14ac:dyDescent="0.2">
      <c r="A65" s="39" t="s">
        <v>65</v>
      </c>
      <c r="B65" s="40">
        <v>96</v>
      </c>
      <c r="C65" s="41">
        <f t="shared" ref="C65:C76" si="10">D65+E65</f>
        <v>2084</v>
      </c>
      <c r="D65" s="40">
        <v>988</v>
      </c>
      <c r="E65" s="40">
        <f>1077*0+(1096)</f>
        <v>1096</v>
      </c>
      <c r="F65" s="42">
        <f t="shared" ref="F65:F77" si="11">B65+C65</f>
        <v>2180</v>
      </c>
      <c r="G65" s="33"/>
      <c r="I65" s="33"/>
    </row>
    <row r="66" spans="1:11" x14ac:dyDescent="0.2">
      <c r="A66" s="43" t="s">
        <v>66</v>
      </c>
      <c r="B66" s="40">
        <v>49</v>
      </c>
      <c r="C66" s="45">
        <f t="shared" si="10"/>
        <v>2240</v>
      </c>
      <c r="D66" s="40">
        <v>1096</v>
      </c>
      <c r="E66" s="40">
        <v>1144</v>
      </c>
      <c r="F66" s="46">
        <f t="shared" si="11"/>
        <v>2289</v>
      </c>
      <c r="H66" s="33"/>
    </row>
    <row r="67" spans="1:11" x14ac:dyDescent="0.2">
      <c r="A67" s="43" t="s">
        <v>67</v>
      </c>
      <c r="B67" s="40">
        <v>6</v>
      </c>
      <c r="C67" s="45">
        <f t="shared" si="10"/>
        <v>2203</v>
      </c>
      <c r="D67" s="40">
        <v>1510</v>
      </c>
      <c r="E67" s="40">
        <v>693</v>
      </c>
      <c r="F67" s="46">
        <f t="shared" si="11"/>
        <v>2209</v>
      </c>
      <c r="G67" s="257"/>
      <c r="H67" s="257"/>
      <c r="I67" s="33"/>
    </row>
    <row r="68" spans="1:11" x14ac:dyDescent="0.2">
      <c r="A68" s="43" t="s">
        <v>68</v>
      </c>
      <c r="B68" s="40">
        <v>48</v>
      </c>
      <c r="C68" s="45">
        <f t="shared" si="10"/>
        <v>1606</v>
      </c>
      <c r="D68" s="40">
        <v>1606</v>
      </c>
      <c r="E68" s="40"/>
      <c r="F68" s="46">
        <f t="shared" si="11"/>
        <v>1654</v>
      </c>
      <c r="G68" s="70"/>
      <c r="H68" s="70"/>
    </row>
    <row r="69" spans="1:11" x14ac:dyDescent="0.2">
      <c r="A69" s="43" t="s">
        <v>69</v>
      </c>
      <c r="B69" s="40"/>
      <c r="C69" s="45">
        <f t="shared" si="10"/>
        <v>0</v>
      </c>
      <c r="D69" s="40"/>
      <c r="E69" s="40"/>
      <c r="F69" s="46">
        <f t="shared" si="11"/>
        <v>0</v>
      </c>
      <c r="G69" s="257"/>
      <c r="H69" s="257"/>
      <c r="I69" s="33"/>
    </row>
    <row r="70" spans="1:11" x14ac:dyDescent="0.2">
      <c r="A70" s="43" t="s">
        <v>70</v>
      </c>
      <c r="B70" s="40"/>
      <c r="C70" s="45">
        <f t="shared" si="10"/>
        <v>0</v>
      </c>
      <c r="D70" s="40"/>
      <c r="E70" s="40"/>
      <c r="F70" s="46">
        <f t="shared" si="11"/>
        <v>0</v>
      </c>
      <c r="H70" s="257"/>
      <c r="I70" s="257"/>
    </row>
    <row r="71" spans="1:11" x14ac:dyDescent="0.2">
      <c r="A71" s="47" t="s">
        <v>71</v>
      </c>
      <c r="B71" s="40"/>
      <c r="C71" s="45">
        <f t="shared" si="10"/>
        <v>0</v>
      </c>
      <c r="D71" s="40"/>
      <c r="E71" s="40"/>
      <c r="F71" s="46">
        <f t="shared" si="11"/>
        <v>0</v>
      </c>
      <c r="G71" s="33"/>
      <c r="I71" s="33"/>
    </row>
    <row r="72" spans="1:11" x14ac:dyDescent="0.2">
      <c r="A72" s="47" t="s">
        <v>72</v>
      </c>
      <c r="B72" s="40"/>
      <c r="C72" s="45">
        <f t="shared" si="10"/>
        <v>0</v>
      </c>
      <c r="D72" s="40"/>
      <c r="E72" s="40"/>
      <c r="F72" s="46">
        <f t="shared" si="11"/>
        <v>0</v>
      </c>
      <c r="H72" s="33"/>
    </row>
    <row r="73" spans="1:11" x14ac:dyDescent="0.2">
      <c r="A73" s="47" t="s">
        <v>73</v>
      </c>
      <c r="B73" s="40"/>
      <c r="C73" s="45">
        <f t="shared" si="10"/>
        <v>0</v>
      </c>
      <c r="D73" s="40"/>
      <c r="E73" s="40"/>
      <c r="F73" s="46">
        <f t="shared" si="11"/>
        <v>0</v>
      </c>
      <c r="G73" s="257"/>
      <c r="H73" s="257"/>
      <c r="I73" s="33"/>
    </row>
    <row r="74" spans="1:11" x14ac:dyDescent="0.2">
      <c r="A74" s="47" t="s">
        <v>74</v>
      </c>
      <c r="B74" s="40"/>
      <c r="C74" s="45">
        <f t="shared" si="10"/>
        <v>0</v>
      </c>
      <c r="D74" s="40"/>
      <c r="E74" s="40"/>
      <c r="F74" s="46">
        <f t="shared" si="11"/>
        <v>0</v>
      </c>
      <c r="H74" s="257"/>
      <c r="I74" s="257"/>
    </row>
    <row r="75" spans="1:11" x14ac:dyDescent="0.2">
      <c r="A75" s="47" t="s">
        <v>75</v>
      </c>
      <c r="B75" s="40"/>
      <c r="C75" s="45">
        <f t="shared" si="10"/>
        <v>0</v>
      </c>
      <c r="D75" s="40"/>
      <c r="E75" s="40"/>
      <c r="F75" s="46">
        <f t="shared" si="11"/>
        <v>0</v>
      </c>
      <c r="G75" s="33"/>
      <c r="I75" s="33"/>
    </row>
    <row r="76" spans="1:11" x14ac:dyDescent="0.2">
      <c r="A76" s="47" t="s">
        <v>76</v>
      </c>
      <c r="B76" s="40"/>
      <c r="C76" s="45">
        <f t="shared" si="10"/>
        <v>0</v>
      </c>
      <c r="D76" s="40"/>
      <c r="E76" s="40"/>
      <c r="F76" s="46">
        <f t="shared" si="11"/>
        <v>0</v>
      </c>
      <c r="H76" s="33"/>
    </row>
    <row r="77" spans="1:11" ht="15.75" thickBot="1" x14ac:dyDescent="0.25">
      <c r="A77" s="60" t="s">
        <v>0</v>
      </c>
      <c r="B77" s="61">
        <f>SUM(B65:B76)</f>
        <v>199</v>
      </c>
      <c r="C77" s="61">
        <f>SUM(C65:C76)</f>
        <v>8133</v>
      </c>
      <c r="D77" s="61">
        <f>SUM(D65:D76)</f>
        <v>5200</v>
      </c>
      <c r="E77" s="61">
        <f>SUM(E65:E76)</f>
        <v>2933</v>
      </c>
      <c r="F77" s="62">
        <f t="shared" si="11"/>
        <v>8332</v>
      </c>
      <c r="G77" s="33"/>
      <c r="I77" s="33"/>
    </row>
    <row r="78" spans="1:11" ht="24.75" customHeight="1" thickBot="1" x14ac:dyDescent="0.25">
      <c r="A78" s="83" t="s">
        <v>83</v>
      </c>
      <c r="B78" s="84"/>
      <c r="C78" s="84"/>
      <c r="D78" s="84"/>
      <c r="E78" s="84"/>
      <c r="F78" s="85"/>
    </row>
    <row r="79" spans="1:11" ht="15.75" thickBot="1" x14ac:dyDescent="0.25">
      <c r="A79" s="86"/>
      <c r="B79" s="82" t="s">
        <v>77</v>
      </c>
      <c r="C79" s="82" t="s">
        <v>78</v>
      </c>
      <c r="D79" s="82" t="s">
        <v>63</v>
      </c>
      <c r="E79" s="82" t="s">
        <v>64</v>
      </c>
      <c r="F79" s="72" t="s">
        <v>0</v>
      </c>
      <c r="G79" s="87"/>
      <c r="I79" s="30"/>
      <c r="J79" s="30"/>
      <c r="K79" s="30"/>
    </row>
    <row r="80" spans="1:11" x14ac:dyDescent="0.2">
      <c r="A80" s="39" t="s">
        <v>65</v>
      </c>
      <c r="B80" s="40">
        <f t="shared" ref="B80:F91" si="12">B95-B65</f>
        <v>685</v>
      </c>
      <c r="C80" s="41">
        <f>C95-C65</f>
        <v>2119</v>
      </c>
      <c r="D80" s="40">
        <f t="shared" si="12"/>
        <v>2001</v>
      </c>
      <c r="E80" s="40">
        <f>E95-E65</f>
        <v>118</v>
      </c>
      <c r="F80" s="42">
        <f t="shared" si="12"/>
        <v>2804</v>
      </c>
      <c r="G80" s="88"/>
      <c r="H80" s="30"/>
      <c r="I80" s="30"/>
      <c r="J80" s="30"/>
      <c r="K80" s="30"/>
    </row>
    <row r="81" spans="1:61" x14ac:dyDescent="0.2">
      <c r="A81" s="43" t="s">
        <v>66</v>
      </c>
      <c r="B81" s="44">
        <f>B96-B66</f>
        <v>824</v>
      </c>
      <c r="C81" s="45">
        <f t="shared" si="12"/>
        <v>2436</v>
      </c>
      <c r="D81" s="44">
        <f t="shared" si="12"/>
        <v>2245</v>
      </c>
      <c r="E81" s="44">
        <f t="shared" si="12"/>
        <v>191</v>
      </c>
      <c r="F81" s="46">
        <f t="shared" si="12"/>
        <v>3260</v>
      </c>
      <c r="G81" s="89"/>
      <c r="H81" s="89"/>
      <c r="I81" s="30"/>
      <c r="J81" s="30"/>
      <c r="K81" s="30"/>
    </row>
    <row r="82" spans="1:61" x14ac:dyDescent="0.2">
      <c r="A82" s="43" t="s">
        <v>67</v>
      </c>
      <c r="B82" s="44">
        <f>B97-B67</f>
        <v>52</v>
      </c>
      <c r="C82" s="45">
        <f t="shared" si="12"/>
        <v>3129</v>
      </c>
      <c r="D82" s="44">
        <f t="shared" si="12"/>
        <v>2967</v>
      </c>
      <c r="E82" s="44">
        <f t="shared" si="12"/>
        <v>162</v>
      </c>
      <c r="F82" s="46">
        <f t="shared" si="12"/>
        <v>3181</v>
      </c>
      <c r="G82" s="88"/>
      <c r="H82" s="30"/>
      <c r="I82" s="30"/>
      <c r="J82" s="30"/>
      <c r="K82" s="30"/>
    </row>
    <row r="83" spans="1:61" x14ac:dyDescent="0.2">
      <c r="A83" s="43" t="s">
        <v>68</v>
      </c>
      <c r="B83" s="44">
        <f t="shared" si="12"/>
        <v>953</v>
      </c>
      <c r="C83" s="45">
        <f t="shared" si="12"/>
        <v>2929</v>
      </c>
      <c r="D83" s="44">
        <f t="shared" si="12"/>
        <v>2929</v>
      </c>
      <c r="E83" s="44">
        <f t="shared" si="12"/>
        <v>0</v>
      </c>
      <c r="F83" s="46">
        <f t="shared" si="12"/>
        <v>3882</v>
      </c>
      <c r="G83" s="88"/>
      <c r="H83" s="30"/>
      <c r="I83" s="30"/>
      <c r="J83" s="30"/>
      <c r="K83" s="30"/>
    </row>
    <row r="84" spans="1:61" x14ac:dyDescent="0.2">
      <c r="A84" s="43" t="s">
        <v>69</v>
      </c>
      <c r="B84" s="44">
        <f t="shared" si="12"/>
        <v>0</v>
      </c>
      <c r="C84" s="45">
        <f t="shared" si="12"/>
        <v>0</v>
      </c>
      <c r="D84" s="44">
        <f>D99-D69</f>
        <v>0</v>
      </c>
      <c r="E84" s="44">
        <f>E99-E69</f>
        <v>0</v>
      </c>
      <c r="F84" s="46">
        <f t="shared" si="12"/>
        <v>0</v>
      </c>
      <c r="G84" s="90"/>
      <c r="H84" s="30"/>
      <c r="I84" s="30"/>
      <c r="J84" s="30"/>
      <c r="K84" s="30"/>
    </row>
    <row r="85" spans="1:61" x14ac:dyDescent="0.2">
      <c r="A85" s="43" t="s">
        <v>70</v>
      </c>
      <c r="B85" s="44">
        <f t="shared" si="12"/>
        <v>0</v>
      </c>
      <c r="C85" s="45">
        <f t="shared" si="12"/>
        <v>0</v>
      </c>
      <c r="D85" s="44">
        <f>D100-D70</f>
        <v>0</v>
      </c>
      <c r="E85" s="44">
        <f>E100-E70</f>
        <v>0</v>
      </c>
      <c r="F85" s="46">
        <f t="shared" si="12"/>
        <v>0</v>
      </c>
      <c r="G85" s="90"/>
      <c r="H85" s="30"/>
      <c r="I85" s="30"/>
      <c r="J85" s="30"/>
      <c r="K85" s="30"/>
    </row>
    <row r="86" spans="1:61" x14ac:dyDescent="0.2">
      <c r="A86" s="47" t="s">
        <v>71</v>
      </c>
      <c r="B86" s="44">
        <f t="shared" si="12"/>
        <v>0</v>
      </c>
      <c r="C86" s="45">
        <f t="shared" si="12"/>
        <v>0</v>
      </c>
      <c r="D86" s="44">
        <f>D101-D71</f>
        <v>0</v>
      </c>
      <c r="E86" s="44">
        <f t="shared" si="12"/>
        <v>0</v>
      </c>
      <c r="F86" s="46">
        <f t="shared" si="12"/>
        <v>0</v>
      </c>
      <c r="G86" s="91"/>
      <c r="H86" s="90"/>
      <c r="I86" s="30"/>
      <c r="J86" s="30"/>
      <c r="K86" s="30"/>
    </row>
    <row r="87" spans="1:61" x14ac:dyDescent="0.2">
      <c r="A87" s="47" t="s">
        <v>72</v>
      </c>
      <c r="B87" s="44">
        <f>B102-B72</f>
        <v>0</v>
      </c>
      <c r="C87" s="45">
        <f t="shared" si="12"/>
        <v>0</v>
      </c>
      <c r="D87" s="44">
        <f t="shared" si="12"/>
        <v>0</v>
      </c>
      <c r="E87" s="44">
        <f>E102-E72</f>
        <v>0</v>
      </c>
      <c r="F87" s="46">
        <f>F102-F72</f>
        <v>0</v>
      </c>
      <c r="G87" s="91"/>
      <c r="H87" s="30"/>
      <c r="I87" s="30"/>
      <c r="J87" s="30"/>
      <c r="K87" s="30"/>
    </row>
    <row r="88" spans="1:61" x14ac:dyDescent="0.2">
      <c r="A88" s="47" t="s">
        <v>73</v>
      </c>
      <c r="B88" s="44">
        <f t="shared" si="12"/>
        <v>0</v>
      </c>
      <c r="C88" s="45">
        <f t="shared" si="12"/>
        <v>0</v>
      </c>
      <c r="D88" s="44">
        <f t="shared" si="12"/>
        <v>0</v>
      </c>
      <c r="E88" s="44">
        <f>E103-E73</f>
        <v>0</v>
      </c>
      <c r="F88" s="46">
        <f t="shared" si="12"/>
        <v>0</v>
      </c>
      <c r="G88" s="89"/>
      <c r="H88" s="89"/>
      <c r="I88" s="89"/>
      <c r="J88" s="89"/>
      <c r="K88" s="30"/>
    </row>
    <row r="89" spans="1:61" x14ac:dyDescent="0.2">
      <c r="A89" s="47" t="s">
        <v>74</v>
      </c>
      <c r="B89" s="44">
        <f t="shared" si="12"/>
        <v>0</v>
      </c>
      <c r="C89" s="45">
        <f t="shared" si="12"/>
        <v>0</v>
      </c>
      <c r="D89" s="44">
        <f t="shared" si="12"/>
        <v>0</v>
      </c>
      <c r="E89" s="44">
        <f t="shared" si="12"/>
        <v>0</v>
      </c>
      <c r="F89" s="46">
        <f t="shared" si="12"/>
        <v>0</v>
      </c>
      <c r="G89" s="88"/>
      <c r="H89" s="30"/>
      <c r="I89" s="30"/>
      <c r="J89" s="30"/>
      <c r="K89" s="30"/>
    </row>
    <row r="90" spans="1:61" x14ac:dyDescent="0.2">
      <c r="A90" s="47" t="s">
        <v>75</v>
      </c>
      <c r="B90" s="44">
        <f t="shared" si="12"/>
        <v>0</v>
      </c>
      <c r="C90" s="45">
        <f t="shared" si="12"/>
        <v>0</v>
      </c>
      <c r="D90" s="44">
        <f t="shared" si="12"/>
        <v>0</v>
      </c>
      <c r="E90" s="44">
        <f t="shared" si="12"/>
        <v>0</v>
      </c>
      <c r="F90" s="46">
        <f t="shared" si="12"/>
        <v>0</v>
      </c>
      <c r="G90" s="88"/>
      <c r="H90" s="30"/>
      <c r="I90" s="30"/>
      <c r="J90" s="30"/>
      <c r="K90" s="30"/>
    </row>
    <row r="91" spans="1:61" x14ac:dyDescent="0.2">
      <c r="A91" s="47" t="s">
        <v>76</v>
      </c>
      <c r="B91" s="44">
        <f>B106-B76</f>
        <v>0</v>
      </c>
      <c r="C91" s="45">
        <f t="shared" si="12"/>
        <v>0</v>
      </c>
      <c r="D91" s="44">
        <f t="shared" si="12"/>
        <v>0</v>
      </c>
      <c r="E91" s="44">
        <f>E106-E76</f>
        <v>0</v>
      </c>
      <c r="F91" s="46">
        <f t="shared" si="12"/>
        <v>0</v>
      </c>
      <c r="G91" s="88"/>
      <c r="H91" s="30"/>
      <c r="I91" s="30"/>
      <c r="J91" s="30"/>
      <c r="K91" s="30"/>
    </row>
    <row r="92" spans="1:61" ht="15.75" thickBot="1" x14ac:dyDescent="0.25">
      <c r="A92" s="60" t="s">
        <v>0</v>
      </c>
      <c r="B92" s="61">
        <f>SUM(B80:B91)</f>
        <v>2514</v>
      </c>
      <c r="C92" s="61">
        <f>SUM(C80:C91)</f>
        <v>10613</v>
      </c>
      <c r="D92" s="61">
        <f>SUM(D80:D91)</f>
        <v>10142</v>
      </c>
      <c r="E92" s="61">
        <f>SUM(E80:E91)</f>
        <v>471</v>
      </c>
      <c r="F92" s="62">
        <f>B92+C92</f>
        <v>13127</v>
      </c>
      <c r="H92" s="30"/>
      <c r="I92" s="30"/>
      <c r="J92" s="30"/>
      <c r="K92" s="30"/>
    </row>
    <row r="93" spans="1:61" s="35" customFormat="1" ht="24" customHeight="1" thickBot="1" x14ac:dyDescent="0.25">
      <c r="A93" s="80" t="s">
        <v>84</v>
      </c>
      <c r="B93" s="64"/>
      <c r="C93" s="64"/>
      <c r="D93" s="64"/>
      <c r="E93" s="64"/>
      <c r="F93" s="65"/>
      <c r="G93" s="33"/>
      <c r="H93" s="30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</row>
    <row r="94" spans="1:61" ht="15.75" thickBot="1" x14ac:dyDescent="0.25">
      <c r="A94" s="86"/>
      <c r="B94" s="82" t="s">
        <v>77</v>
      </c>
      <c r="C94" s="82" t="s">
        <v>78</v>
      </c>
      <c r="D94" s="82" t="s">
        <v>63</v>
      </c>
      <c r="E94" s="82" t="s">
        <v>64</v>
      </c>
      <c r="F94" s="72" t="s">
        <v>0</v>
      </c>
      <c r="H94" s="33"/>
    </row>
    <row r="95" spans="1:61" x14ac:dyDescent="0.2">
      <c r="A95" s="39" t="s">
        <v>65</v>
      </c>
      <c r="B95" s="40">
        <f t="shared" ref="B95:E106" si="13">B35+B50</f>
        <v>781</v>
      </c>
      <c r="C95" s="41">
        <f t="shared" si="13"/>
        <v>4203</v>
      </c>
      <c r="D95" s="40">
        <f t="shared" si="13"/>
        <v>2989</v>
      </c>
      <c r="E95" s="40">
        <f>E35+E50</f>
        <v>1214</v>
      </c>
      <c r="F95" s="42">
        <f t="shared" ref="F95:F107" si="14">B95+C95</f>
        <v>4984</v>
      </c>
      <c r="G95" s="70"/>
      <c r="H95" s="70"/>
    </row>
    <row r="96" spans="1:61" x14ac:dyDescent="0.2">
      <c r="A96" s="43" t="s">
        <v>66</v>
      </c>
      <c r="B96" s="44">
        <f t="shared" si="13"/>
        <v>873</v>
      </c>
      <c r="C96" s="45">
        <f t="shared" si="13"/>
        <v>4676</v>
      </c>
      <c r="D96" s="44">
        <f>D36+D51</f>
        <v>3341</v>
      </c>
      <c r="E96" s="44">
        <f t="shared" si="13"/>
        <v>1335</v>
      </c>
      <c r="F96" s="46">
        <f t="shared" si="14"/>
        <v>5549</v>
      </c>
    </row>
    <row r="97" spans="1:61" x14ac:dyDescent="0.2">
      <c r="A97" s="43" t="s">
        <v>67</v>
      </c>
      <c r="B97" s="44">
        <f t="shared" si="13"/>
        <v>58</v>
      </c>
      <c r="C97" s="45">
        <f t="shared" si="13"/>
        <v>5332</v>
      </c>
      <c r="D97" s="44">
        <f t="shared" si="13"/>
        <v>4477</v>
      </c>
      <c r="E97" s="44">
        <f t="shared" si="13"/>
        <v>855</v>
      </c>
      <c r="F97" s="46">
        <f t="shared" si="14"/>
        <v>5390</v>
      </c>
    </row>
    <row r="98" spans="1:61" x14ac:dyDescent="0.2">
      <c r="A98" s="43" t="s">
        <v>68</v>
      </c>
      <c r="B98" s="44">
        <f t="shared" si="13"/>
        <v>1001</v>
      </c>
      <c r="C98" s="45">
        <f t="shared" si="13"/>
        <v>4535</v>
      </c>
      <c r="D98" s="44">
        <f t="shared" si="13"/>
        <v>4535</v>
      </c>
      <c r="E98" s="44">
        <f t="shared" si="13"/>
        <v>0</v>
      </c>
      <c r="F98" s="46">
        <f>B98+C98</f>
        <v>5536</v>
      </c>
      <c r="G98" s="70"/>
      <c r="H98" s="70"/>
    </row>
    <row r="99" spans="1:61" x14ac:dyDescent="0.2">
      <c r="A99" s="43" t="s">
        <v>69</v>
      </c>
      <c r="B99" s="44">
        <f>B39+B54</f>
        <v>0</v>
      </c>
      <c r="C99" s="45">
        <f t="shared" si="13"/>
        <v>0</v>
      </c>
      <c r="D99" s="44">
        <f>D39+D54</f>
        <v>0</v>
      </c>
      <c r="E99" s="44">
        <f>E39+E54</f>
        <v>0</v>
      </c>
      <c r="F99" s="46">
        <f t="shared" si="14"/>
        <v>0</v>
      </c>
      <c r="G99" s="92"/>
      <c r="I99" s="30"/>
      <c r="J99" s="30"/>
      <c r="K99" s="30"/>
    </row>
    <row r="100" spans="1:61" x14ac:dyDescent="0.2">
      <c r="A100" s="43" t="s">
        <v>70</v>
      </c>
      <c r="B100" s="44">
        <f>B40+B55</f>
        <v>0</v>
      </c>
      <c r="C100" s="45">
        <f t="shared" si="13"/>
        <v>0</v>
      </c>
      <c r="D100" s="44">
        <f t="shared" si="13"/>
        <v>0</v>
      </c>
      <c r="E100" s="44">
        <f>E40+E55</f>
        <v>0</v>
      </c>
      <c r="F100" s="46">
        <f t="shared" si="14"/>
        <v>0</v>
      </c>
      <c r="G100" s="89"/>
      <c r="H100" s="89"/>
      <c r="I100" s="30"/>
      <c r="J100" s="30"/>
      <c r="K100" s="30"/>
    </row>
    <row r="101" spans="1:61" x14ac:dyDescent="0.2">
      <c r="A101" s="47" t="s">
        <v>71</v>
      </c>
      <c r="B101" s="44">
        <f t="shared" si="13"/>
        <v>0</v>
      </c>
      <c r="C101" s="45">
        <f t="shared" si="13"/>
        <v>0</v>
      </c>
      <c r="D101" s="44">
        <f t="shared" si="13"/>
        <v>0</v>
      </c>
      <c r="E101" s="44">
        <f t="shared" si="13"/>
        <v>0</v>
      </c>
      <c r="F101" s="46">
        <f t="shared" si="14"/>
        <v>0</v>
      </c>
      <c r="G101" s="93"/>
      <c r="H101" s="30"/>
      <c r="I101" s="30"/>
      <c r="J101" s="30"/>
      <c r="K101" s="30"/>
    </row>
    <row r="102" spans="1:61" x14ac:dyDescent="0.2">
      <c r="A102" s="47" t="s">
        <v>72</v>
      </c>
      <c r="B102" s="44">
        <f>B42+B57</f>
        <v>0</v>
      </c>
      <c r="C102" s="45">
        <f t="shared" si="13"/>
        <v>0</v>
      </c>
      <c r="D102" s="44">
        <f t="shared" si="13"/>
        <v>0</v>
      </c>
      <c r="E102" s="44">
        <f t="shared" si="13"/>
        <v>0</v>
      </c>
      <c r="F102" s="46">
        <f>B102+C102</f>
        <v>0</v>
      </c>
      <c r="G102" s="89"/>
      <c r="H102" s="89"/>
      <c r="I102" s="30"/>
      <c r="J102" s="30"/>
      <c r="K102" s="30"/>
    </row>
    <row r="103" spans="1:61" x14ac:dyDescent="0.2">
      <c r="A103" s="47" t="s">
        <v>73</v>
      </c>
      <c r="B103" s="44">
        <f>B43+B58</f>
        <v>0</v>
      </c>
      <c r="C103" s="45">
        <f t="shared" si="13"/>
        <v>0</v>
      </c>
      <c r="D103" s="44">
        <f>D43+D58</f>
        <v>0</v>
      </c>
      <c r="E103" s="44">
        <f t="shared" si="13"/>
        <v>0</v>
      </c>
      <c r="F103" s="46">
        <f>B103+C103</f>
        <v>0</v>
      </c>
      <c r="H103" s="30"/>
    </row>
    <row r="104" spans="1:61" x14ac:dyDescent="0.2">
      <c r="A104" s="47" t="s">
        <v>74</v>
      </c>
      <c r="B104" s="44">
        <f t="shared" si="13"/>
        <v>0</v>
      </c>
      <c r="C104" s="45">
        <f t="shared" si="13"/>
        <v>0</v>
      </c>
      <c r="D104" s="44">
        <f t="shared" si="13"/>
        <v>0</v>
      </c>
      <c r="E104" s="44">
        <f t="shared" si="13"/>
        <v>0</v>
      </c>
      <c r="F104" s="46">
        <f t="shared" si="14"/>
        <v>0</v>
      </c>
      <c r="G104" s="70"/>
    </row>
    <row r="105" spans="1:61" x14ac:dyDescent="0.2">
      <c r="A105" s="47" t="s">
        <v>75</v>
      </c>
      <c r="B105" s="44">
        <f t="shared" si="13"/>
        <v>0</v>
      </c>
      <c r="C105" s="45">
        <f t="shared" si="13"/>
        <v>0</v>
      </c>
      <c r="D105" s="44">
        <f t="shared" si="13"/>
        <v>0</v>
      </c>
      <c r="E105" s="44">
        <f t="shared" si="13"/>
        <v>0</v>
      </c>
      <c r="F105" s="46">
        <f t="shared" si="14"/>
        <v>0</v>
      </c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</row>
    <row r="106" spans="1:61" x14ac:dyDescent="0.2">
      <c r="A106" s="47" t="s">
        <v>76</v>
      </c>
      <c r="B106" s="44">
        <f>B46+B61</f>
        <v>0</v>
      </c>
      <c r="C106" s="45">
        <f t="shared" si="13"/>
        <v>0</v>
      </c>
      <c r="D106" s="44">
        <f t="shared" si="13"/>
        <v>0</v>
      </c>
      <c r="E106" s="44">
        <f>E46+E61</f>
        <v>0</v>
      </c>
      <c r="F106" s="46">
        <f t="shared" si="14"/>
        <v>0</v>
      </c>
    </row>
    <row r="107" spans="1:61" ht="15.75" thickBot="1" x14ac:dyDescent="0.25">
      <c r="A107" s="60" t="s">
        <v>0</v>
      </c>
      <c r="B107" s="61">
        <f>SUM(B95:B106)</f>
        <v>2713</v>
      </c>
      <c r="C107" s="61">
        <f>SUM(C95:C106)</f>
        <v>18746</v>
      </c>
      <c r="D107" s="61">
        <f>SUM(D95:D106)</f>
        <v>15342</v>
      </c>
      <c r="E107" s="61">
        <f>SUM(E95:E106)</f>
        <v>3404</v>
      </c>
      <c r="F107" s="62">
        <f t="shared" si="14"/>
        <v>21459</v>
      </c>
    </row>
    <row r="108" spans="1:61" ht="25.5" customHeight="1" thickBot="1" x14ac:dyDescent="0.25">
      <c r="A108" s="83" t="s">
        <v>85</v>
      </c>
      <c r="B108" s="94"/>
      <c r="C108" s="94"/>
      <c r="D108" s="94"/>
      <c r="E108" s="94"/>
      <c r="F108" s="95"/>
      <c r="G108" s="96"/>
      <c r="I108" s="97"/>
      <c r="J108" s="97"/>
      <c r="K108" s="97"/>
    </row>
    <row r="109" spans="1:61" s="103" customFormat="1" ht="24.75" customHeight="1" thickBot="1" x14ac:dyDescent="0.25">
      <c r="A109" s="98"/>
      <c r="B109" s="53" t="s">
        <v>86</v>
      </c>
      <c r="C109" s="53" t="s">
        <v>87</v>
      </c>
      <c r="D109" s="53" t="s">
        <v>88</v>
      </c>
      <c r="E109" s="53" t="s">
        <v>89</v>
      </c>
      <c r="F109" s="99" t="s">
        <v>90</v>
      </c>
      <c r="G109" s="100" t="s">
        <v>91</v>
      </c>
      <c r="H109" s="97"/>
      <c r="I109" s="88"/>
      <c r="J109" s="88"/>
      <c r="K109" s="88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102"/>
      <c r="BD109" s="102"/>
      <c r="BE109" s="102"/>
      <c r="BF109" s="102"/>
      <c r="BG109" s="102"/>
      <c r="BH109" s="102"/>
      <c r="BI109" s="102"/>
    </row>
    <row r="110" spans="1:61" x14ac:dyDescent="0.2">
      <c r="A110" s="104" t="s">
        <v>65</v>
      </c>
      <c r="B110" s="105"/>
      <c r="C110" s="106"/>
      <c r="D110" s="106"/>
      <c r="E110" s="106"/>
      <c r="F110" s="107"/>
      <c r="G110" s="108"/>
      <c r="H110" s="88"/>
      <c r="I110" s="109"/>
      <c r="J110" s="109"/>
      <c r="K110" s="109"/>
    </row>
    <row r="111" spans="1:61" x14ac:dyDescent="0.2">
      <c r="A111" s="110" t="s">
        <v>92</v>
      </c>
      <c r="B111" s="44">
        <v>124</v>
      </c>
      <c r="C111" s="44">
        <v>132</v>
      </c>
      <c r="D111" s="44">
        <v>117</v>
      </c>
      <c r="E111" s="44">
        <v>35</v>
      </c>
      <c r="F111" s="111">
        <v>277</v>
      </c>
      <c r="G111" s="112">
        <f>SUM(B111:F111)</f>
        <v>685</v>
      </c>
      <c r="H111" s="109"/>
      <c r="I111" s="109"/>
      <c r="J111" s="109"/>
      <c r="K111" s="109"/>
    </row>
    <row r="112" spans="1:61" x14ac:dyDescent="0.2">
      <c r="A112" s="110" t="s">
        <v>93</v>
      </c>
      <c r="B112" s="44">
        <v>461</v>
      </c>
      <c r="C112" s="44">
        <v>481</v>
      </c>
      <c r="D112" s="44">
        <v>376</v>
      </c>
      <c r="E112" s="44">
        <v>74</v>
      </c>
      <c r="F112" s="111">
        <v>609</v>
      </c>
      <c r="G112" s="112">
        <f>SUM(B112:F112)</f>
        <v>2001</v>
      </c>
      <c r="H112" s="109"/>
      <c r="I112" s="109"/>
      <c r="J112" s="109"/>
      <c r="K112" s="109"/>
    </row>
    <row r="113" spans="1:61" x14ac:dyDescent="0.2">
      <c r="A113" s="110" t="s">
        <v>1</v>
      </c>
      <c r="B113" s="44">
        <v>109</v>
      </c>
      <c r="C113" s="44">
        <v>9</v>
      </c>
      <c r="D113" s="44">
        <v>0</v>
      </c>
      <c r="E113" s="44">
        <v>0</v>
      </c>
      <c r="F113" s="111">
        <v>0</v>
      </c>
      <c r="G113" s="114">
        <f>SUM(B113:F113)</f>
        <v>118</v>
      </c>
      <c r="H113" s="109"/>
      <c r="I113" s="109"/>
      <c r="J113" s="109"/>
      <c r="K113" s="109"/>
    </row>
    <row r="114" spans="1:61" x14ac:dyDescent="0.2">
      <c r="A114" s="115" t="s">
        <v>7</v>
      </c>
      <c r="B114" s="116">
        <f t="shared" ref="B114:G114" si="15">B111+B112+B113</f>
        <v>694</v>
      </c>
      <c r="C114" s="116">
        <f t="shared" si="15"/>
        <v>622</v>
      </c>
      <c r="D114" s="116">
        <f t="shared" si="15"/>
        <v>493</v>
      </c>
      <c r="E114" s="116">
        <f t="shared" si="15"/>
        <v>109</v>
      </c>
      <c r="F114" s="117">
        <f t="shared" si="15"/>
        <v>886</v>
      </c>
      <c r="G114" s="118">
        <f t="shared" si="15"/>
        <v>2804</v>
      </c>
      <c r="H114" s="109"/>
      <c r="I114" s="119"/>
      <c r="J114" s="119"/>
      <c r="K114" s="119"/>
    </row>
    <row r="115" spans="1:61" x14ac:dyDescent="0.2">
      <c r="A115" s="120" t="s">
        <v>66</v>
      </c>
      <c r="B115" s="121"/>
      <c r="C115" s="122"/>
      <c r="D115" s="122"/>
      <c r="E115" s="122"/>
      <c r="F115" s="122"/>
      <c r="G115" s="123"/>
      <c r="H115" s="119"/>
      <c r="I115" s="119"/>
      <c r="J115" s="119"/>
      <c r="K115" s="119"/>
    </row>
    <row r="116" spans="1:61" x14ac:dyDescent="0.2">
      <c r="A116" s="110" t="s">
        <v>92</v>
      </c>
      <c r="B116" s="44">
        <v>98</v>
      </c>
      <c r="C116" s="44">
        <v>211</v>
      </c>
      <c r="D116" s="44">
        <v>218</v>
      </c>
      <c r="E116" s="44">
        <v>52</v>
      </c>
      <c r="F116" s="111">
        <v>245</v>
      </c>
      <c r="G116" s="112">
        <f>SUM(B116:F116)</f>
        <v>824</v>
      </c>
      <c r="H116" s="119"/>
      <c r="I116" s="109"/>
      <c r="J116" s="109"/>
      <c r="K116" s="109"/>
    </row>
    <row r="117" spans="1:61" x14ac:dyDescent="0.2">
      <c r="A117" s="110" t="s">
        <v>93</v>
      </c>
      <c r="B117" s="44">
        <v>455</v>
      </c>
      <c r="C117" s="44">
        <v>718</v>
      </c>
      <c r="D117" s="44">
        <v>624</v>
      </c>
      <c r="E117" s="44">
        <v>87</v>
      </c>
      <c r="F117" s="111">
        <v>361</v>
      </c>
      <c r="G117" s="112">
        <f>SUM(B117:F117)</f>
        <v>2245</v>
      </c>
      <c r="H117" s="109"/>
      <c r="I117" s="109"/>
      <c r="J117" s="109"/>
      <c r="K117" s="109"/>
    </row>
    <row r="118" spans="1:61" x14ac:dyDescent="0.2">
      <c r="A118" s="110" t="s">
        <v>1</v>
      </c>
      <c r="B118" s="76">
        <v>186</v>
      </c>
      <c r="C118" s="76">
        <v>5</v>
      </c>
      <c r="D118" s="44">
        <v>0</v>
      </c>
      <c r="E118" s="44">
        <v>0</v>
      </c>
      <c r="F118" s="44">
        <v>0</v>
      </c>
      <c r="G118" s="112">
        <f>SUM(B118:F118)</f>
        <v>191</v>
      </c>
      <c r="H118" s="109"/>
      <c r="I118" s="109"/>
      <c r="J118" s="109"/>
      <c r="K118" s="109"/>
    </row>
    <row r="119" spans="1:61" x14ac:dyDescent="0.2">
      <c r="A119" s="115" t="s">
        <v>7</v>
      </c>
      <c r="B119" s="116">
        <f t="shared" ref="B119:G119" si="16">B116+B117+B118</f>
        <v>739</v>
      </c>
      <c r="C119" s="116">
        <f t="shared" si="16"/>
        <v>934</v>
      </c>
      <c r="D119" s="116">
        <f>D116+D117+D118</f>
        <v>842</v>
      </c>
      <c r="E119" s="116">
        <f t="shared" si="16"/>
        <v>139</v>
      </c>
      <c r="F119" s="117">
        <f t="shared" si="16"/>
        <v>606</v>
      </c>
      <c r="G119" s="118">
        <f t="shared" si="16"/>
        <v>3260</v>
      </c>
      <c r="H119" s="109"/>
      <c r="I119" s="119"/>
      <c r="J119" s="119"/>
      <c r="K119" s="119"/>
    </row>
    <row r="120" spans="1:61" x14ac:dyDescent="0.2">
      <c r="A120" s="120" t="s">
        <v>67</v>
      </c>
      <c r="B120" s="77"/>
      <c r="C120" s="77"/>
      <c r="D120" s="77"/>
      <c r="E120" s="77"/>
      <c r="F120" s="124"/>
      <c r="G120" s="112"/>
      <c r="H120" s="119"/>
      <c r="I120" s="119"/>
      <c r="J120" s="119"/>
      <c r="K120" s="119"/>
    </row>
    <row r="121" spans="1:61" x14ac:dyDescent="0.2">
      <c r="A121" s="110" t="s">
        <v>92</v>
      </c>
      <c r="B121" s="44">
        <v>13</v>
      </c>
      <c r="C121" s="44">
        <v>29</v>
      </c>
      <c r="D121" s="44">
        <v>8</v>
      </c>
      <c r="E121" s="44">
        <v>0</v>
      </c>
      <c r="F121" s="111">
        <v>2</v>
      </c>
      <c r="G121" s="112">
        <f>SUM(B121:F121)</f>
        <v>52</v>
      </c>
      <c r="H121" s="119"/>
      <c r="I121" s="109"/>
      <c r="J121" s="109"/>
      <c r="K121" s="109"/>
    </row>
    <row r="122" spans="1:61" x14ac:dyDescent="0.2">
      <c r="A122" s="110" t="s">
        <v>93</v>
      </c>
      <c r="B122" s="44">
        <v>681</v>
      </c>
      <c r="C122" s="44">
        <v>1091</v>
      </c>
      <c r="D122" s="44">
        <v>774</v>
      </c>
      <c r="E122" s="44">
        <v>75</v>
      </c>
      <c r="F122" s="111">
        <v>346</v>
      </c>
      <c r="G122" s="112">
        <f>SUM(B122:F122)</f>
        <v>2967</v>
      </c>
      <c r="H122" s="109"/>
      <c r="I122" s="109"/>
      <c r="J122" s="109"/>
      <c r="K122" s="109"/>
    </row>
    <row r="123" spans="1:61" x14ac:dyDescent="0.2">
      <c r="A123" s="110" t="s">
        <v>1</v>
      </c>
      <c r="B123" s="76">
        <v>162</v>
      </c>
      <c r="C123" s="76">
        <v>0</v>
      </c>
      <c r="D123" s="76">
        <v>0</v>
      </c>
      <c r="E123" s="76">
        <v>0</v>
      </c>
      <c r="F123" s="113">
        <v>0</v>
      </c>
      <c r="G123" s="112">
        <f>SUM(B123:F123)</f>
        <v>162</v>
      </c>
      <c r="H123" s="109"/>
      <c r="I123" s="109"/>
      <c r="J123" s="109"/>
      <c r="K123" s="109"/>
    </row>
    <row r="124" spans="1:61" x14ac:dyDescent="0.2">
      <c r="A124" s="115" t="s">
        <v>7</v>
      </c>
      <c r="B124" s="116">
        <f t="shared" ref="B124:G124" si="17">B121+B122+B123</f>
        <v>856</v>
      </c>
      <c r="C124" s="116">
        <f t="shared" si="17"/>
        <v>1120</v>
      </c>
      <c r="D124" s="116">
        <f t="shared" si="17"/>
        <v>782</v>
      </c>
      <c r="E124" s="116">
        <f t="shared" si="17"/>
        <v>75</v>
      </c>
      <c r="F124" s="117">
        <f t="shared" si="17"/>
        <v>348</v>
      </c>
      <c r="G124" s="118">
        <f t="shared" si="17"/>
        <v>3181</v>
      </c>
      <c r="H124" s="109"/>
      <c r="I124" s="119"/>
      <c r="J124" s="119"/>
      <c r="K124" s="119"/>
    </row>
    <row r="125" spans="1:61" x14ac:dyDescent="0.2">
      <c r="A125" s="120" t="s">
        <v>94</v>
      </c>
      <c r="B125" s="125"/>
      <c r="C125" s="125"/>
      <c r="D125" s="125"/>
      <c r="E125" s="125"/>
      <c r="F125" s="126"/>
      <c r="G125" s="127"/>
      <c r="H125" s="119"/>
      <c r="I125" s="119"/>
      <c r="J125" s="119"/>
      <c r="K125" s="119"/>
    </row>
    <row r="126" spans="1:61" s="131" customFormat="1" x14ac:dyDescent="0.2">
      <c r="A126" s="110" t="s">
        <v>95</v>
      </c>
      <c r="B126" s="45">
        <f t="shared" ref="B126:G126" si="18">B114+B119+B124</f>
        <v>2289</v>
      </c>
      <c r="C126" s="45">
        <f t="shared" si="18"/>
        <v>2676</v>
      </c>
      <c r="D126" s="45">
        <f t="shared" si="18"/>
        <v>2117</v>
      </c>
      <c r="E126" s="45">
        <f t="shared" si="18"/>
        <v>323</v>
      </c>
      <c r="F126" s="128">
        <f t="shared" si="18"/>
        <v>1840</v>
      </c>
      <c r="G126" s="112">
        <f t="shared" si="18"/>
        <v>9245</v>
      </c>
      <c r="H126" s="119"/>
      <c r="I126" s="119"/>
      <c r="J126" s="119"/>
      <c r="K126" s="119"/>
      <c r="L126" s="129"/>
      <c r="M126" s="129"/>
      <c r="N126" s="129"/>
      <c r="O126" s="129"/>
      <c r="P126" s="129"/>
      <c r="Q126" s="129"/>
      <c r="R126" s="129"/>
      <c r="S126" s="129"/>
      <c r="T126" s="129"/>
      <c r="U126" s="129"/>
      <c r="V126" s="129"/>
      <c r="W126" s="129"/>
      <c r="X126" s="129"/>
      <c r="Y126" s="129"/>
      <c r="Z126" s="129"/>
      <c r="AA126" s="129"/>
      <c r="AB126" s="129"/>
      <c r="AC126" s="129"/>
      <c r="AD126" s="129"/>
      <c r="AE126" s="129"/>
      <c r="AF126" s="129"/>
      <c r="AG126" s="129"/>
      <c r="AH126" s="129"/>
      <c r="AI126" s="129"/>
      <c r="AJ126" s="129"/>
      <c r="AK126" s="129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  <c r="AV126" s="130"/>
      <c r="AW126" s="130"/>
      <c r="AX126" s="130"/>
      <c r="AY126" s="130"/>
      <c r="AZ126" s="130"/>
      <c r="BA126" s="130"/>
      <c r="BB126" s="130"/>
      <c r="BC126" s="130"/>
      <c r="BD126" s="130"/>
      <c r="BE126" s="130"/>
      <c r="BF126" s="130"/>
      <c r="BG126" s="130"/>
      <c r="BH126" s="130"/>
      <c r="BI126" s="130"/>
    </row>
    <row r="127" spans="1:61" s="131" customFormat="1" x14ac:dyDescent="0.2">
      <c r="A127" s="110" t="s">
        <v>96</v>
      </c>
      <c r="B127" s="45">
        <f>B126*2</f>
        <v>4578</v>
      </c>
      <c r="C127" s="45">
        <f>C126*5.5</f>
        <v>14718</v>
      </c>
      <c r="D127" s="45">
        <f>D126*11.5</f>
        <v>24345.5</v>
      </c>
      <c r="E127" s="45">
        <f>E126*19</f>
        <v>6137</v>
      </c>
      <c r="F127" s="128">
        <f>F126*23</f>
        <v>42320</v>
      </c>
      <c r="G127" s="112">
        <f>SUM(B127:F127)</f>
        <v>92098.5</v>
      </c>
      <c r="H127" s="119"/>
      <c r="I127" s="119"/>
      <c r="J127" s="119"/>
      <c r="K127" s="11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9"/>
      <c r="AB127" s="129"/>
      <c r="AC127" s="129"/>
      <c r="AD127" s="129"/>
      <c r="AE127" s="129"/>
      <c r="AF127" s="129"/>
      <c r="AG127" s="129"/>
      <c r="AH127" s="129"/>
      <c r="AI127" s="129"/>
      <c r="AJ127" s="129"/>
      <c r="AK127" s="129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</row>
    <row r="128" spans="1:61" x14ac:dyDescent="0.2">
      <c r="A128" s="132" t="s">
        <v>97</v>
      </c>
      <c r="B128" s="133" t="s">
        <v>98</v>
      </c>
      <c r="C128" s="133"/>
      <c r="D128" s="133"/>
      <c r="E128" s="133"/>
      <c r="F128" s="134"/>
      <c r="G128" s="135">
        <f>G127/G126</f>
        <v>9.9619794483504602</v>
      </c>
      <c r="H128" s="119"/>
      <c r="I128" s="119"/>
      <c r="J128" s="119"/>
      <c r="K128" s="119"/>
    </row>
    <row r="129" spans="1:11" x14ac:dyDescent="0.2">
      <c r="A129" s="120" t="s">
        <v>68</v>
      </c>
      <c r="B129" s="136"/>
      <c r="C129" s="136"/>
      <c r="D129" s="136"/>
      <c r="E129" s="136"/>
      <c r="F129" s="137"/>
      <c r="G129" s="123"/>
      <c r="H129" s="119"/>
      <c r="I129" s="119"/>
      <c r="J129" s="119"/>
      <c r="K129" s="119"/>
    </row>
    <row r="130" spans="1:11" x14ac:dyDescent="0.2">
      <c r="A130" s="110" t="s">
        <v>92</v>
      </c>
      <c r="B130" s="44">
        <v>188</v>
      </c>
      <c r="C130" s="44">
        <v>345</v>
      </c>
      <c r="D130" s="44">
        <v>230</v>
      </c>
      <c r="E130" s="44">
        <v>31</v>
      </c>
      <c r="F130" s="111">
        <v>159</v>
      </c>
      <c r="G130" s="112">
        <f>SUM(B130:F130)</f>
        <v>953</v>
      </c>
      <c r="H130" s="119"/>
      <c r="I130" s="109"/>
      <c r="J130" s="109"/>
      <c r="K130" s="109"/>
    </row>
    <row r="131" spans="1:11" x14ac:dyDescent="0.2">
      <c r="A131" s="110" t="s">
        <v>93</v>
      </c>
      <c r="B131" s="44">
        <v>672</v>
      </c>
      <c r="C131" s="44">
        <v>1287</v>
      </c>
      <c r="D131" s="44">
        <v>590</v>
      </c>
      <c r="E131" s="44">
        <v>68</v>
      </c>
      <c r="F131" s="111">
        <v>312</v>
      </c>
      <c r="G131" s="112">
        <f>SUM(B131:F131)</f>
        <v>2929</v>
      </c>
      <c r="H131" s="109"/>
      <c r="I131" s="109"/>
      <c r="J131" s="109"/>
      <c r="K131" s="109"/>
    </row>
    <row r="132" spans="1:11" x14ac:dyDescent="0.2">
      <c r="A132" s="110" t="s">
        <v>1</v>
      </c>
      <c r="B132" s="76"/>
      <c r="C132" s="76"/>
      <c r="D132" s="76"/>
      <c r="E132" s="76"/>
      <c r="F132" s="113"/>
      <c r="G132" s="112">
        <f>SUM(B132:F132)</f>
        <v>0</v>
      </c>
      <c r="H132" s="109"/>
      <c r="I132" s="109"/>
      <c r="J132" s="109"/>
      <c r="K132" s="109"/>
    </row>
    <row r="133" spans="1:11" x14ac:dyDescent="0.2">
      <c r="A133" s="115" t="s">
        <v>7</v>
      </c>
      <c r="B133" s="116">
        <f t="shared" ref="B133:G133" si="19">B130+B131+B132</f>
        <v>860</v>
      </c>
      <c r="C133" s="116">
        <f t="shared" si="19"/>
        <v>1632</v>
      </c>
      <c r="D133" s="116">
        <f t="shared" si="19"/>
        <v>820</v>
      </c>
      <c r="E133" s="116">
        <f t="shared" si="19"/>
        <v>99</v>
      </c>
      <c r="F133" s="117">
        <f t="shared" si="19"/>
        <v>471</v>
      </c>
      <c r="G133" s="118">
        <f t="shared" si="19"/>
        <v>3882</v>
      </c>
      <c r="H133" s="109"/>
      <c r="I133" s="119"/>
      <c r="J133" s="119"/>
      <c r="K133" s="119"/>
    </row>
    <row r="134" spans="1:11" x14ac:dyDescent="0.2">
      <c r="A134" s="120" t="s">
        <v>69</v>
      </c>
      <c r="B134" s="77"/>
      <c r="C134" s="77"/>
      <c r="D134" s="77"/>
      <c r="E134" s="77"/>
      <c r="F134" s="124"/>
      <c r="G134" s="123"/>
      <c r="H134" s="119"/>
      <c r="I134" s="119"/>
      <c r="J134" s="119"/>
      <c r="K134" s="119"/>
    </row>
    <row r="135" spans="1:11" x14ac:dyDescent="0.2">
      <c r="A135" s="110" t="s">
        <v>92</v>
      </c>
      <c r="B135" s="44"/>
      <c r="C135" s="44"/>
      <c r="D135" s="44"/>
      <c r="E135" s="44"/>
      <c r="F135" s="111"/>
      <c r="G135" s="112">
        <f>SUM(B135:F135)</f>
        <v>0</v>
      </c>
      <c r="H135" s="119"/>
      <c r="I135" s="109"/>
      <c r="J135" s="109"/>
      <c r="K135" s="109"/>
    </row>
    <row r="136" spans="1:11" x14ac:dyDescent="0.2">
      <c r="A136" s="110" t="s">
        <v>93</v>
      </c>
      <c r="B136" s="44"/>
      <c r="C136" s="44"/>
      <c r="D136" s="44"/>
      <c r="E136" s="44"/>
      <c r="F136" s="111"/>
      <c r="G136" s="112">
        <f>SUM(B136:F136)</f>
        <v>0</v>
      </c>
      <c r="H136" s="109"/>
      <c r="I136" s="109"/>
      <c r="J136" s="109"/>
      <c r="K136" s="109"/>
    </row>
    <row r="137" spans="1:11" x14ac:dyDescent="0.2">
      <c r="A137" s="110" t="s">
        <v>1</v>
      </c>
      <c r="B137" s="76"/>
      <c r="C137" s="76"/>
      <c r="D137" s="76"/>
      <c r="E137" s="76"/>
      <c r="F137" s="113"/>
      <c r="G137" s="112">
        <f>SUM(B137:F137)</f>
        <v>0</v>
      </c>
      <c r="H137" s="109"/>
      <c r="I137" s="109"/>
      <c r="J137" s="109"/>
      <c r="K137" s="109"/>
    </row>
    <row r="138" spans="1:11" x14ac:dyDescent="0.2">
      <c r="A138" s="115" t="s">
        <v>7</v>
      </c>
      <c r="B138" s="116">
        <f t="shared" ref="B138:G138" si="20">B135+B136+B137</f>
        <v>0</v>
      </c>
      <c r="C138" s="116">
        <f t="shared" si="20"/>
        <v>0</v>
      </c>
      <c r="D138" s="116">
        <f t="shared" si="20"/>
        <v>0</v>
      </c>
      <c r="E138" s="116">
        <f t="shared" si="20"/>
        <v>0</v>
      </c>
      <c r="F138" s="117">
        <f t="shared" si="20"/>
        <v>0</v>
      </c>
      <c r="G138" s="118">
        <f t="shared" si="20"/>
        <v>0</v>
      </c>
      <c r="H138" s="109"/>
      <c r="I138" s="119"/>
      <c r="J138" s="119"/>
      <c r="K138" s="119"/>
    </row>
    <row r="139" spans="1:11" x14ac:dyDescent="0.2">
      <c r="A139" s="120" t="s">
        <v>70</v>
      </c>
      <c r="B139" s="138"/>
      <c r="C139" s="138"/>
      <c r="D139" s="138"/>
      <c r="E139" s="138"/>
      <c r="F139" s="139"/>
      <c r="G139" s="123"/>
      <c r="H139" s="119"/>
      <c r="I139" s="109"/>
      <c r="J139" s="109"/>
      <c r="K139" s="109"/>
    </row>
    <row r="140" spans="1:11" x14ac:dyDescent="0.2">
      <c r="A140" s="110" t="s">
        <v>92</v>
      </c>
      <c r="B140" s="76"/>
      <c r="C140" s="76"/>
      <c r="D140" s="76"/>
      <c r="E140" s="76"/>
      <c r="F140" s="113"/>
      <c r="G140" s="112">
        <f>SUM(B140:F140)</f>
        <v>0</v>
      </c>
      <c r="H140" s="109"/>
      <c r="I140" s="109"/>
      <c r="J140" s="109"/>
      <c r="K140" s="109"/>
    </row>
    <row r="141" spans="1:11" x14ac:dyDescent="0.2">
      <c r="A141" s="110" t="s">
        <v>93</v>
      </c>
      <c r="B141" s="76"/>
      <c r="C141" s="76"/>
      <c r="D141" s="76"/>
      <c r="E141" s="76"/>
      <c r="F141" s="113"/>
      <c r="G141" s="112">
        <f>SUM(B141:F141)</f>
        <v>0</v>
      </c>
      <c r="H141" s="109"/>
      <c r="I141" s="109"/>
      <c r="J141" s="109"/>
      <c r="K141" s="109"/>
    </row>
    <row r="142" spans="1:11" x14ac:dyDescent="0.2">
      <c r="A142" s="110" t="s">
        <v>1</v>
      </c>
      <c r="B142" s="76"/>
      <c r="C142" s="76"/>
      <c r="D142" s="76"/>
      <c r="E142" s="76"/>
      <c r="F142" s="113"/>
      <c r="G142" s="112">
        <f>SUM(B142:F142)</f>
        <v>0</v>
      </c>
      <c r="H142" s="109"/>
      <c r="I142" s="109"/>
      <c r="J142" s="109"/>
      <c r="K142" s="109"/>
    </row>
    <row r="143" spans="1:11" x14ac:dyDescent="0.2">
      <c r="A143" s="115" t="s">
        <v>7</v>
      </c>
      <c r="B143" s="116">
        <f t="shared" ref="B143:G143" si="21">B140+B141+B142</f>
        <v>0</v>
      </c>
      <c r="C143" s="116">
        <f t="shared" si="21"/>
        <v>0</v>
      </c>
      <c r="D143" s="116">
        <f t="shared" si="21"/>
        <v>0</v>
      </c>
      <c r="E143" s="116">
        <f t="shared" si="21"/>
        <v>0</v>
      </c>
      <c r="F143" s="117">
        <f t="shared" si="21"/>
        <v>0</v>
      </c>
      <c r="G143" s="118">
        <f t="shared" si="21"/>
        <v>0</v>
      </c>
      <c r="H143" s="109"/>
      <c r="I143" s="119"/>
      <c r="J143" s="119"/>
      <c r="K143" s="119"/>
    </row>
    <row r="144" spans="1:11" x14ac:dyDescent="0.2">
      <c r="A144" s="120" t="s">
        <v>99</v>
      </c>
      <c r="B144" s="125"/>
      <c r="C144" s="125"/>
      <c r="D144" s="125"/>
      <c r="E144" s="125"/>
      <c r="F144" s="126"/>
      <c r="G144" s="140"/>
      <c r="H144" s="119"/>
      <c r="I144" s="119"/>
      <c r="J144" s="119"/>
      <c r="K144" s="119"/>
    </row>
    <row r="145" spans="1:11" x14ac:dyDescent="0.2">
      <c r="A145" s="110" t="s">
        <v>95</v>
      </c>
      <c r="B145" s="45">
        <f t="shared" ref="B145:G145" si="22">B133+B138+B143</f>
        <v>860</v>
      </c>
      <c r="C145" s="45">
        <f t="shared" si="22"/>
        <v>1632</v>
      </c>
      <c r="D145" s="45">
        <f t="shared" si="22"/>
        <v>820</v>
      </c>
      <c r="E145" s="45">
        <f t="shared" si="22"/>
        <v>99</v>
      </c>
      <c r="F145" s="128">
        <f t="shared" si="22"/>
        <v>471</v>
      </c>
      <c r="G145" s="112">
        <f t="shared" si="22"/>
        <v>3882</v>
      </c>
      <c r="H145" s="119"/>
      <c r="I145" s="119"/>
      <c r="J145" s="119"/>
      <c r="K145" s="119"/>
    </row>
    <row r="146" spans="1:11" x14ac:dyDescent="0.2">
      <c r="A146" s="110" t="s">
        <v>96</v>
      </c>
      <c r="B146" s="45">
        <f>B145*2</f>
        <v>1720</v>
      </c>
      <c r="C146" s="45">
        <f>C145*5.5</f>
        <v>8976</v>
      </c>
      <c r="D146" s="45">
        <f>D145*11.5</f>
        <v>9430</v>
      </c>
      <c r="E146" s="45">
        <f>E145*19</f>
        <v>1881</v>
      </c>
      <c r="F146" s="128">
        <f>F145*23</f>
        <v>10833</v>
      </c>
      <c r="G146" s="112">
        <f>SUM(B146:F146)</f>
        <v>32840</v>
      </c>
      <c r="H146" s="119"/>
      <c r="I146" s="119"/>
      <c r="J146" s="119"/>
      <c r="K146" s="119"/>
    </row>
    <row r="147" spans="1:11" x14ac:dyDescent="0.2">
      <c r="A147" s="132" t="s">
        <v>97</v>
      </c>
      <c r="B147" s="345" t="s">
        <v>98</v>
      </c>
      <c r="C147" s="346"/>
      <c r="D147" s="346"/>
      <c r="E147" s="346"/>
      <c r="F147" s="347"/>
      <c r="G147" s="141">
        <f>G146/G145</f>
        <v>8.4595569294178254</v>
      </c>
      <c r="H147" s="119"/>
      <c r="I147" s="119"/>
      <c r="J147" s="119"/>
      <c r="K147" s="119"/>
    </row>
    <row r="148" spans="1:11" x14ac:dyDescent="0.2">
      <c r="A148" s="120" t="s">
        <v>71</v>
      </c>
      <c r="B148" s="136"/>
      <c r="C148" s="136"/>
      <c r="D148" s="136"/>
      <c r="E148" s="136"/>
      <c r="F148" s="137"/>
      <c r="G148" s="123"/>
      <c r="H148" s="119"/>
      <c r="I148" s="119"/>
      <c r="J148" s="119"/>
      <c r="K148" s="119"/>
    </row>
    <row r="149" spans="1:11" x14ac:dyDescent="0.2">
      <c r="A149" s="110" t="s">
        <v>92</v>
      </c>
      <c r="B149" s="44"/>
      <c r="C149" s="44"/>
      <c r="D149" s="44"/>
      <c r="E149" s="44"/>
      <c r="F149" s="111"/>
      <c r="G149" s="112">
        <f>SUM(B149:F149)</f>
        <v>0</v>
      </c>
      <c r="H149" s="119"/>
      <c r="I149" s="109"/>
      <c r="J149" s="109"/>
      <c r="K149" s="109"/>
    </row>
    <row r="150" spans="1:11" x14ac:dyDescent="0.2">
      <c r="A150" s="110" t="s">
        <v>93</v>
      </c>
      <c r="B150" s="44"/>
      <c r="C150" s="44"/>
      <c r="D150" s="44"/>
      <c r="E150" s="44"/>
      <c r="F150" s="111"/>
      <c r="G150" s="112">
        <f>SUM(B150:F150)</f>
        <v>0</v>
      </c>
      <c r="H150" s="109"/>
      <c r="I150" s="109"/>
      <c r="J150" s="109"/>
      <c r="K150" s="109"/>
    </row>
    <row r="151" spans="1:11" x14ac:dyDescent="0.2">
      <c r="A151" s="110" t="s">
        <v>1</v>
      </c>
      <c r="B151" s="76"/>
      <c r="C151" s="76"/>
      <c r="D151" s="76"/>
      <c r="E151" s="76"/>
      <c r="F151" s="113"/>
      <c r="G151" s="112">
        <f>SUM(B151:F151)</f>
        <v>0</v>
      </c>
      <c r="H151" s="109"/>
      <c r="I151" s="109"/>
      <c r="J151" s="109"/>
      <c r="K151" s="109"/>
    </row>
    <row r="152" spans="1:11" x14ac:dyDescent="0.2">
      <c r="A152" s="115" t="s">
        <v>7</v>
      </c>
      <c r="B152" s="116">
        <f t="shared" ref="B152:G152" si="23">B149+B150+B151</f>
        <v>0</v>
      </c>
      <c r="C152" s="116">
        <f t="shared" si="23"/>
        <v>0</v>
      </c>
      <c r="D152" s="116">
        <f t="shared" si="23"/>
        <v>0</v>
      </c>
      <c r="E152" s="116">
        <f t="shared" si="23"/>
        <v>0</v>
      </c>
      <c r="F152" s="117">
        <f t="shared" si="23"/>
        <v>0</v>
      </c>
      <c r="G152" s="118">
        <f t="shared" si="23"/>
        <v>0</v>
      </c>
      <c r="H152" s="109"/>
      <c r="I152" s="142"/>
      <c r="J152" s="119"/>
      <c r="K152" s="119"/>
    </row>
    <row r="153" spans="1:11" x14ac:dyDescent="0.2">
      <c r="A153" s="120" t="s">
        <v>72</v>
      </c>
      <c r="B153" s="77"/>
      <c r="C153" s="77"/>
      <c r="D153" s="77"/>
      <c r="E153" s="77"/>
      <c r="F153" s="124"/>
      <c r="G153" s="123"/>
      <c r="H153" s="119"/>
      <c r="I153" s="119"/>
      <c r="J153" s="119"/>
      <c r="K153" s="119"/>
    </row>
    <row r="154" spans="1:11" x14ac:dyDescent="0.2">
      <c r="A154" s="110" t="s">
        <v>92</v>
      </c>
      <c r="B154" s="44"/>
      <c r="C154" s="44"/>
      <c r="D154" s="44"/>
      <c r="E154" s="44"/>
      <c r="F154" s="111"/>
      <c r="G154" s="112">
        <f>SUM(B154:F154)</f>
        <v>0</v>
      </c>
      <c r="H154" s="119"/>
      <c r="I154" s="109"/>
      <c r="J154" s="109"/>
      <c r="K154" s="109"/>
    </row>
    <row r="155" spans="1:11" x14ac:dyDescent="0.2">
      <c r="A155" s="110" t="s">
        <v>93</v>
      </c>
      <c r="B155" s="44"/>
      <c r="C155" s="44"/>
      <c r="D155" s="44"/>
      <c r="E155" s="44"/>
      <c r="F155" s="111"/>
      <c r="G155" s="112">
        <f>SUM(B155:F155)</f>
        <v>0</v>
      </c>
      <c r="H155" s="109"/>
      <c r="I155" s="109"/>
      <c r="J155" s="109"/>
      <c r="K155" s="109"/>
    </row>
    <row r="156" spans="1:11" x14ac:dyDescent="0.2">
      <c r="A156" s="110" t="s">
        <v>1</v>
      </c>
      <c r="B156" s="76"/>
      <c r="C156" s="76"/>
      <c r="D156" s="76"/>
      <c r="E156" s="76"/>
      <c r="F156" s="113"/>
      <c r="G156" s="112">
        <f>SUM(B156:F156)</f>
        <v>0</v>
      </c>
      <c r="H156" s="109"/>
      <c r="I156" s="109"/>
      <c r="J156" s="109"/>
      <c r="K156" s="109"/>
    </row>
    <row r="157" spans="1:11" x14ac:dyDescent="0.2">
      <c r="A157" s="115" t="s">
        <v>7</v>
      </c>
      <c r="B157" s="116">
        <f t="shared" ref="B157:G157" si="24">B154+B155+B156</f>
        <v>0</v>
      </c>
      <c r="C157" s="116">
        <f t="shared" si="24"/>
        <v>0</v>
      </c>
      <c r="D157" s="116">
        <f t="shared" si="24"/>
        <v>0</v>
      </c>
      <c r="E157" s="116">
        <f t="shared" si="24"/>
        <v>0</v>
      </c>
      <c r="F157" s="117">
        <f t="shared" si="24"/>
        <v>0</v>
      </c>
      <c r="G157" s="118">
        <f t="shared" si="24"/>
        <v>0</v>
      </c>
      <c r="H157" s="109"/>
      <c r="I157" s="119"/>
      <c r="J157" s="119"/>
      <c r="K157" s="119"/>
    </row>
    <row r="158" spans="1:11" x14ac:dyDescent="0.2">
      <c r="A158" s="120" t="s">
        <v>100</v>
      </c>
      <c r="B158" s="138"/>
      <c r="C158" s="138"/>
      <c r="D158" s="138"/>
      <c r="E158" s="138"/>
      <c r="F158" s="139"/>
      <c r="G158" s="123"/>
      <c r="H158" s="119"/>
      <c r="I158" s="119"/>
      <c r="J158" s="119"/>
      <c r="K158" s="119"/>
    </row>
    <row r="159" spans="1:11" x14ac:dyDescent="0.2">
      <c r="A159" s="110" t="s">
        <v>92</v>
      </c>
      <c r="B159" s="76"/>
      <c r="C159" s="76"/>
      <c r="D159" s="76"/>
      <c r="E159" s="76"/>
      <c r="F159" s="113"/>
      <c r="G159" s="112">
        <f>SUM(B159:F159)</f>
        <v>0</v>
      </c>
      <c r="H159" s="119"/>
      <c r="I159" s="109"/>
      <c r="J159" s="109"/>
      <c r="K159" s="109"/>
    </row>
    <row r="160" spans="1:11" x14ac:dyDescent="0.2">
      <c r="A160" s="110" t="s">
        <v>93</v>
      </c>
      <c r="B160" s="76"/>
      <c r="C160" s="76"/>
      <c r="D160" s="76"/>
      <c r="E160" s="76"/>
      <c r="F160" s="113"/>
      <c r="G160" s="112">
        <f>SUM(B160:F160)</f>
        <v>0</v>
      </c>
      <c r="H160" s="109"/>
      <c r="I160" s="109"/>
      <c r="J160" s="109"/>
      <c r="K160" s="109"/>
    </row>
    <row r="161" spans="1:11" x14ac:dyDescent="0.2">
      <c r="A161" s="110" t="s">
        <v>1</v>
      </c>
      <c r="B161" s="76"/>
      <c r="C161" s="76"/>
      <c r="D161" s="76"/>
      <c r="E161" s="76"/>
      <c r="F161" s="113"/>
      <c r="G161" s="112">
        <f>SUM(B161:F161)</f>
        <v>0</v>
      </c>
      <c r="H161" s="109"/>
      <c r="I161" s="109"/>
      <c r="J161" s="109"/>
      <c r="K161" s="109"/>
    </row>
    <row r="162" spans="1:11" x14ac:dyDescent="0.2">
      <c r="A162" s="115" t="s">
        <v>7</v>
      </c>
      <c r="B162" s="116">
        <f t="shared" ref="B162:G162" si="25">B159+B160+B161</f>
        <v>0</v>
      </c>
      <c r="C162" s="116">
        <f t="shared" si="25"/>
        <v>0</v>
      </c>
      <c r="D162" s="116">
        <f t="shared" si="25"/>
        <v>0</v>
      </c>
      <c r="E162" s="116">
        <f t="shared" si="25"/>
        <v>0</v>
      </c>
      <c r="F162" s="117">
        <f t="shared" si="25"/>
        <v>0</v>
      </c>
      <c r="G162" s="118">
        <f t="shared" si="25"/>
        <v>0</v>
      </c>
      <c r="H162" s="109"/>
      <c r="I162" s="119"/>
      <c r="J162" s="119"/>
      <c r="K162" s="119"/>
    </row>
    <row r="163" spans="1:11" x14ac:dyDescent="0.2">
      <c r="A163" s="120" t="s">
        <v>101</v>
      </c>
      <c r="B163" s="125"/>
      <c r="C163" s="125"/>
      <c r="D163" s="125"/>
      <c r="E163" s="125"/>
      <c r="F163" s="126"/>
      <c r="G163" s="140"/>
      <c r="H163" s="119"/>
      <c r="I163" s="119"/>
      <c r="J163" s="119"/>
      <c r="K163" s="119"/>
    </row>
    <row r="164" spans="1:11" x14ac:dyDescent="0.2">
      <c r="A164" s="110" t="s">
        <v>95</v>
      </c>
      <c r="B164" s="45">
        <f t="shared" ref="B164:G164" si="26">+B152+B157+B162</f>
        <v>0</v>
      </c>
      <c r="C164" s="45">
        <f t="shared" si="26"/>
        <v>0</v>
      </c>
      <c r="D164" s="45">
        <f t="shared" si="26"/>
        <v>0</v>
      </c>
      <c r="E164" s="45">
        <f t="shared" si="26"/>
        <v>0</v>
      </c>
      <c r="F164" s="128">
        <f t="shared" si="26"/>
        <v>0</v>
      </c>
      <c r="G164" s="112">
        <f t="shared" si="26"/>
        <v>0</v>
      </c>
      <c r="H164" s="119"/>
      <c r="I164" s="119"/>
      <c r="J164" s="119"/>
      <c r="K164" s="119"/>
    </row>
    <row r="165" spans="1:11" x14ac:dyDescent="0.2">
      <c r="A165" s="110" t="s">
        <v>96</v>
      </c>
      <c r="B165" s="45">
        <f>B164*2</f>
        <v>0</v>
      </c>
      <c r="C165" s="45">
        <f>C164*5.5</f>
        <v>0</v>
      </c>
      <c r="D165" s="45">
        <f>D164*11.5</f>
        <v>0</v>
      </c>
      <c r="E165" s="45">
        <f>E164*19</f>
        <v>0</v>
      </c>
      <c r="F165" s="128">
        <f>F164*23</f>
        <v>0</v>
      </c>
      <c r="G165" s="112">
        <f>SUM(B165:F165)</f>
        <v>0</v>
      </c>
      <c r="H165" s="119"/>
      <c r="I165" s="119"/>
      <c r="J165" s="119"/>
      <c r="K165" s="119"/>
    </row>
    <row r="166" spans="1:11" x14ac:dyDescent="0.2">
      <c r="A166" s="132" t="s">
        <v>97</v>
      </c>
      <c r="B166" s="345" t="s">
        <v>98</v>
      </c>
      <c r="C166" s="346"/>
      <c r="D166" s="346"/>
      <c r="E166" s="346"/>
      <c r="F166" s="347"/>
      <c r="G166" s="141" t="e">
        <f>G165/G164</f>
        <v>#DIV/0!</v>
      </c>
      <c r="H166" s="119"/>
      <c r="I166" s="119"/>
      <c r="J166" s="119"/>
      <c r="K166" s="119"/>
    </row>
    <row r="167" spans="1:11" x14ac:dyDescent="0.2">
      <c r="A167" s="120" t="s">
        <v>74</v>
      </c>
      <c r="B167" s="136"/>
      <c r="C167" s="136"/>
      <c r="D167" s="136"/>
      <c r="E167" s="136"/>
      <c r="F167" s="137"/>
      <c r="G167" s="123"/>
      <c r="H167" s="119"/>
      <c r="I167" s="119"/>
      <c r="J167" s="119"/>
      <c r="K167" s="119"/>
    </row>
    <row r="168" spans="1:11" x14ac:dyDescent="0.2">
      <c r="A168" s="110" t="s">
        <v>92</v>
      </c>
      <c r="B168" s="44"/>
      <c r="C168" s="44"/>
      <c r="D168" s="44"/>
      <c r="E168" s="44"/>
      <c r="F168" s="111"/>
      <c r="G168" s="112">
        <f>SUM(B168:F168)</f>
        <v>0</v>
      </c>
      <c r="H168" s="119"/>
      <c r="I168" s="109"/>
      <c r="J168" s="109"/>
      <c r="K168" s="109"/>
    </row>
    <row r="169" spans="1:11" x14ac:dyDescent="0.2">
      <c r="A169" s="110" t="s">
        <v>93</v>
      </c>
      <c r="B169" s="44"/>
      <c r="C169" s="44"/>
      <c r="D169" s="44"/>
      <c r="E169" s="44"/>
      <c r="F169" s="111"/>
      <c r="G169" s="112">
        <f>SUM(B169:F169)</f>
        <v>0</v>
      </c>
      <c r="H169" s="109"/>
      <c r="I169" s="109"/>
      <c r="J169" s="109"/>
      <c r="K169" s="109"/>
    </row>
    <row r="170" spans="1:11" x14ac:dyDescent="0.2">
      <c r="A170" s="110" t="s">
        <v>1</v>
      </c>
      <c r="B170" s="76"/>
      <c r="C170" s="76"/>
      <c r="D170" s="76"/>
      <c r="E170" s="76"/>
      <c r="F170" s="113"/>
      <c r="G170" s="112">
        <f>SUM(B170:F170)</f>
        <v>0</v>
      </c>
      <c r="H170" s="109"/>
      <c r="I170" s="109"/>
      <c r="J170" s="109"/>
      <c r="K170" s="109"/>
    </row>
    <row r="171" spans="1:11" x14ac:dyDescent="0.2">
      <c r="A171" s="115" t="s">
        <v>7</v>
      </c>
      <c r="B171" s="116">
        <f t="shared" ref="B171:G171" si="27">B168+B169+B170</f>
        <v>0</v>
      </c>
      <c r="C171" s="116">
        <f t="shared" si="27"/>
        <v>0</v>
      </c>
      <c r="D171" s="116">
        <f t="shared" si="27"/>
        <v>0</v>
      </c>
      <c r="E171" s="116">
        <f t="shared" si="27"/>
        <v>0</v>
      </c>
      <c r="F171" s="117">
        <f t="shared" si="27"/>
        <v>0</v>
      </c>
      <c r="G171" s="118">
        <f t="shared" si="27"/>
        <v>0</v>
      </c>
      <c r="H171" s="109"/>
      <c r="I171" s="119"/>
      <c r="J171" s="119"/>
      <c r="K171" s="119"/>
    </row>
    <row r="172" spans="1:11" x14ac:dyDescent="0.2">
      <c r="A172" s="120" t="s">
        <v>75</v>
      </c>
      <c r="B172" s="77"/>
      <c r="C172" s="77"/>
      <c r="D172" s="77"/>
      <c r="E172" s="77"/>
      <c r="F172" s="124"/>
      <c r="G172" s="123"/>
      <c r="H172" s="119"/>
      <c r="I172" s="119"/>
      <c r="J172" s="119"/>
      <c r="K172" s="119"/>
    </row>
    <row r="173" spans="1:11" x14ac:dyDescent="0.2">
      <c r="A173" s="110" t="s">
        <v>92</v>
      </c>
      <c r="B173" s="44"/>
      <c r="C173" s="44"/>
      <c r="D173" s="44"/>
      <c r="E173" s="44"/>
      <c r="F173" s="111"/>
      <c r="G173" s="112">
        <f>SUM(B173:F173)</f>
        <v>0</v>
      </c>
      <c r="H173" s="119"/>
      <c r="I173" s="109"/>
      <c r="J173" s="109"/>
      <c r="K173" s="109"/>
    </row>
    <row r="174" spans="1:11" x14ac:dyDescent="0.2">
      <c r="A174" s="110" t="s">
        <v>93</v>
      </c>
      <c r="B174" s="44"/>
      <c r="C174" s="44"/>
      <c r="D174" s="44"/>
      <c r="E174" s="44"/>
      <c r="F174" s="111"/>
      <c r="G174" s="112">
        <f>SUM(B174:F174)</f>
        <v>0</v>
      </c>
      <c r="H174" s="109"/>
      <c r="I174" s="109"/>
      <c r="J174" s="109"/>
      <c r="K174" s="109"/>
    </row>
    <row r="175" spans="1:11" x14ac:dyDescent="0.2">
      <c r="A175" s="110" t="s">
        <v>1</v>
      </c>
      <c r="B175" s="76"/>
      <c r="C175" s="76"/>
      <c r="D175" s="76"/>
      <c r="E175" s="76"/>
      <c r="F175" s="113"/>
      <c r="G175" s="112">
        <f>SUM(B175:F175)</f>
        <v>0</v>
      </c>
      <c r="H175" s="109"/>
      <c r="I175" s="109"/>
      <c r="J175" s="109"/>
      <c r="K175" s="109"/>
    </row>
    <row r="176" spans="1:11" x14ac:dyDescent="0.2">
      <c r="A176" s="115" t="s">
        <v>7</v>
      </c>
      <c r="B176" s="116">
        <f t="shared" ref="B176:G176" si="28">B173+B174+B175</f>
        <v>0</v>
      </c>
      <c r="C176" s="116">
        <f t="shared" si="28"/>
        <v>0</v>
      </c>
      <c r="D176" s="116">
        <f t="shared" si="28"/>
        <v>0</v>
      </c>
      <c r="E176" s="116">
        <f t="shared" si="28"/>
        <v>0</v>
      </c>
      <c r="F176" s="117">
        <f t="shared" si="28"/>
        <v>0</v>
      </c>
      <c r="G176" s="118">
        <f t="shared" si="28"/>
        <v>0</v>
      </c>
      <c r="H176" s="109"/>
      <c r="I176" s="119"/>
      <c r="J176" s="119"/>
      <c r="K176" s="119"/>
    </row>
    <row r="177" spans="1:61" x14ac:dyDescent="0.2">
      <c r="A177" s="120" t="s">
        <v>76</v>
      </c>
      <c r="B177" s="138"/>
      <c r="C177" s="138"/>
      <c r="D177" s="138"/>
      <c r="E177" s="138"/>
      <c r="F177" s="139"/>
      <c r="G177" s="123"/>
      <c r="H177" s="119"/>
      <c r="I177" s="119"/>
      <c r="J177" s="119"/>
      <c r="K177" s="119"/>
    </row>
    <row r="178" spans="1:61" x14ac:dyDescent="0.2">
      <c r="A178" s="110" t="s">
        <v>92</v>
      </c>
      <c r="B178" s="76"/>
      <c r="C178" s="76"/>
      <c r="D178" s="76"/>
      <c r="E178" s="76"/>
      <c r="F178" s="113"/>
      <c r="G178" s="112">
        <f>SUM(B178:F178)</f>
        <v>0</v>
      </c>
      <c r="H178" s="119"/>
      <c r="I178" s="109"/>
      <c r="J178" s="109"/>
      <c r="K178" s="109"/>
    </row>
    <row r="179" spans="1:61" x14ac:dyDescent="0.2">
      <c r="A179" s="110" t="s">
        <v>93</v>
      </c>
      <c r="B179" s="76"/>
      <c r="C179" s="76"/>
      <c r="D179" s="76"/>
      <c r="E179" s="76"/>
      <c r="F179" s="113"/>
      <c r="G179" s="112">
        <f>SUM(B179:F179)</f>
        <v>0</v>
      </c>
      <c r="H179" s="109"/>
      <c r="I179" s="109"/>
      <c r="J179" s="109"/>
      <c r="K179" s="109"/>
    </row>
    <row r="180" spans="1:61" x14ac:dyDescent="0.2">
      <c r="A180" s="110" t="s">
        <v>1</v>
      </c>
      <c r="B180" s="76"/>
      <c r="C180" s="76"/>
      <c r="D180" s="76"/>
      <c r="E180" s="76"/>
      <c r="F180" s="113"/>
      <c r="G180" s="112">
        <f>SUM(B180:F180)</f>
        <v>0</v>
      </c>
      <c r="H180" s="109"/>
      <c r="I180" s="109"/>
      <c r="J180" s="109"/>
      <c r="K180" s="109"/>
    </row>
    <row r="181" spans="1:61" x14ac:dyDescent="0.2">
      <c r="A181" s="115" t="s">
        <v>7</v>
      </c>
      <c r="B181" s="116">
        <f t="shared" ref="B181:G181" si="29">B178+B179+B180</f>
        <v>0</v>
      </c>
      <c r="C181" s="116">
        <f t="shared" si="29"/>
        <v>0</v>
      </c>
      <c r="D181" s="116">
        <f t="shared" si="29"/>
        <v>0</v>
      </c>
      <c r="E181" s="116">
        <f t="shared" si="29"/>
        <v>0</v>
      </c>
      <c r="F181" s="117">
        <f t="shared" si="29"/>
        <v>0</v>
      </c>
      <c r="G181" s="118">
        <f t="shared" si="29"/>
        <v>0</v>
      </c>
      <c r="H181" s="109"/>
      <c r="I181" s="119"/>
      <c r="J181" s="119"/>
      <c r="K181" s="119"/>
    </row>
    <row r="182" spans="1:61" x14ac:dyDescent="0.2">
      <c r="A182" s="120" t="s">
        <v>102</v>
      </c>
      <c r="B182" s="125"/>
      <c r="C182" s="125"/>
      <c r="D182" s="125"/>
      <c r="E182" s="125"/>
      <c r="F182" s="126"/>
      <c r="G182" s="140"/>
      <c r="H182" s="119"/>
      <c r="I182" s="119"/>
      <c r="J182" s="119"/>
      <c r="K182" s="119"/>
    </row>
    <row r="183" spans="1:61" x14ac:dyDescent="0.2">
      <c r="A183" s="110" t="s">
        <v>95</v>
      </c>
      <c r="B183" s="45">
        <f t="shared" ref="B183:G183" si="30">B171+B176+B181</f>
        <v>0</v>
      </c>
      <c r="C183" s="45">
        <f t="shared" si="30"/>
        <v>0</v>
      </c>
      <c r="D183" s="45">
        <f t="shared" si="30"/>
        <v>0</v>
      </c>
      <c r="E183" s="45">
        <f t="shared" si="30"/>
        <v>0</v>
      </c>
      <c r="F183" s="128">
        <f t="shared" si="30"/>
        <v>0</v>
      </c>
      <c r="G183" s="112">
        <f t="shared" si="30"/>
        <v>0</v>
      </c>
      <c r="H183" s="119"/>
      <c r="I183" s="119"/>
      <c r="J183" s="119"/>
      <c r="K183" s="119"/>
    </row>
    <row r="184" spans="1:61" x14ac:dyDescent="0.2">
      <c r="A184" s="110" t="s">
        <v>96</v>
      </c>
      <c r="B184" s="45">
        <f>B183*2</f>
        <v>0</v>
      </c>
      <c r="C184" s="45">
        <f>C183*5.5</f>
        <v>0</v>
      </c>
      <c r="D184" s="45">
        <f>D183*11.5</f>
        <v>0</v>
      </c>
      <c r="E184" s="45">
        <f>E183*19</f>
        <v>0</v>
      </c>
      <c r="F184" s="128">
        <f>F183*23</f>
        <v>0</v>
      </c>
      <c r="G184" s="112">
        <f>SUM(B184:F184)</f>
        <v>0</v>
      </c>
      <c r="H184" s="119"/>
      <c r="I184" s="119"/>
      <c r="J184" s="119"/>
      <c r="K184" s="119"/>
    </row>
    <row r="185" spans="1:61" x14ac:dyDescent="0.2">
      <c r="A185" s="132" t="s">
        <v>97</v>
      </c>
      <c r="B185" s="345" t="s">
        <v>98</v>
      </c>
      <c r="C185" s="346"/>
      <c r="D185" s="346"/>
      <c r="E185" s="346"/>
      <c r="F185" s="347"/>
      <c r="G185" s="141" t="e">
        <f>G184/G183</f>
        <v>#DIV/0!</v>
      </c>
      <c r="H185" s="119"/>
      <c r="I185" s="119"/>
      <c r="J185" s="119"/>
      <c r="K185" s="119"/>
    </row>
    <row r="186" spans="1:61" ht="15.75" thickBot="1" x14ac:dyDescent="0.25">
      <c r="A186" s="143"/>
      <c r="B186" s="143"/>
      <c r="C186" s="143"/>
      <c r="D186" s="143"/>
      <c r="E186" s="143"/>
      <c r="F186" s="143"/>
      <c r="G186" s="144"/>
      <c r="H186" s="119"/>
      <c r="I186" s="119"/>
      <c r="J186" s="119"/>
      <c r="K186" s="119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</row>
    <row r="187" spans="1:61" ht="21" customHeight="1" thickBot="1" x14ac:dyDescent="0.25">
      <c r="A187" s="83" t="s">
        <v>103</v>
      </c>
      <c r="B187" s="94"/>
      <c r="C187" s="94"/>
      <c r="D187" s="94"/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  <c r="AC187" s="94"/>
      <c r="AD187" s="94"/>
      <c r="AE187" s="94"/>
      <c r="AF187" s="94"/>
      <c r="AG187" s="94"/>
      <c r="AH187" s="94"/>
      <c r="AI187" s="94"/>
      <c r="AJ187" s="94"/>
      <c r="AK187" s="145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</row>
    <row r="188" spans="1:61" s="149" customFormat="1" ht="15.75" thickBot="1" x14ac:dyDescent="0.25">
      <c r="A188" s="146"/>
      <c r="B188" s="147" t="s">
        <v>2</v>
      </c>
      <c r="C188" s="147" t="s">
        <v>104</v>
      </c>
      <c r="D188" s="147" t="s">
        <v>105</v>
      </c>
      <c r="E188" s="147" t="s">
        <v>106</v>
      </c>
      <c r="F188" s="147" t="s">
        <v>107</v>
      </c>
      <c r="G188" s="147" t="s">
        <v>108</v>
      </c>
      <c r="H188" s="147" t="s">
        <v>109</v>
      </c>
      <c r="I188" s="147" t="s">
        <v>110</v>
      </c>
      <c r="J188" s="147" t="s">
        <v>111</v>
      </c>
      <c r="K188" s="147" t="s">
        <v>112</v>
      </c>
      <c r="L188" s="147" t="s">
        <v>113</v>
      </c>
      <c r="M188" s="147" t="s">
        <v>114</v>
      </c>
      <c r="N188" s="147" t="s">
        <v>115</v>
      </c>
      <c r="O188" s="147" t="s">
        <v>116</v>
      </c>
      <c r="P188" s="147" t="s">
        <v>117</v>
      </c>
      <c r="Q188" s="147" t="s">
        <v>118</v>
      </c>
      <c r="R188" s="147" t="s">
        <v>119</v>
      </c>
      <c r="S188" s="147" t="s">
        <v>120</v>
      </c>
      <c r="T188" s="147" t="s">
        <v>121</v>
      </c>
      <c r="U188" s="147" t="s">
        <v>122</v>
      </c>
      <c r="V188" s="147" t="s">
        <v>123</v>
      </c>
      <c r="W188" s="147" t="s">
        <v>124</v>
      </c>
      <c r="X188" s="147" t="s">
        <v>125</v>
      </c>
      <c r="Y188" s="147" t="s">
        <v>126</v>
      </c>
      <c r="Z188" s="147" t="s">
        <v>127</v>
      </c>
      <c r="AA188" s="147" t="s">
        <v>128</v>
      </c>
      <c r="AB188" s="147" t="s">
        <v>129</v>
      </c>
      <c r="AC188" s="147" t="s">
        <v>130</v>
      </c>
      <c r="AD188" s="147" t="s">
        <v>131</v>
      </c>
      <c r="AE188" s="147" t="s">
        <v>132</v>
      </c>
      <c r="AF188" s="147" t="s">
        <v>133</v>
      </c>
      <c r="AG188" s="147" t="s">
        <v>134</v>
      </c>
      <c r="AH188" s="147" t="s">
        <v>135</v>
      </c>
      <c r="AI188" s="147" t="s">
        <v>136</v>
      </c>
      <c r="AJ188" s="147" t="s">
        <v>137</v>
      </c>
      <c r="AK188" s="148" t="s">
        <v>0</v>
      </c>
    </row>
    <row r="189" spans="1:61" x14ac:dyDescent="0.2">
      <c r="A189" s="150" t="s">
        <v>65</v>
      </c>
      <c r="B189" s="151"/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2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</row>
    <row r="190" spans="1:61" x14ac:dyDescent="0.2">
      <c r="A190" s="110" t="s">
        <v>92</v>
      </c>
      <c r="B190" s="44">
        <v>451</v>
      </c>
      <c r="C190" s="44">
        <v>51</v>
      </c>
      <c r="D190" s="44">
        <v>34</v>
      </c>
      <c r="E190" s="44">
        <v>0</v>
      </c>
      <c r="F190" s="44">
        <v>2</v>
      </c>
      <c r="G190" s="44">
        <v>3</v>
      </c>
      <c r="H190" s="44">
        <v>1</v>
      </c>
      <c r="I190" s="44">
        <v>0</v>
      </c>
      <c r="J190" s="44">
        <v>22</v>
      </c>
      <c r="K190" s="44">
        <v>0</v>
      </c>
      <c r="L190" s="44">
        <v>21</v>
      </c>
      <c r="M190" s="153">
        <v>3</v>
      </c>
      <c r="N190" s="153">
        <v>0</v>
      </c>
      <c r="O190" s="153">
        <v>1</v>
      </c>
      <c r="P190" s="153">
        <v>3</v>
      </c>
      <c r="Q190" s="153">
        <v>0</v>
      </c>
      <c r="R190" s="153">
        <v>0</v>
      </c>
      <c r="S190" s="153">
        <v>0</v>
      </c>
      <c r="T190" s="153">
        <v>4</v>
      </c>
      <c r="U190" s="153">
        <v>4</v>
      </c>
      <c r="V190" s="153">
        <v>2</v>
      </c>
      <c r="W190" s="153">
        <v>6</v>
      </c>
      <c r="X190" s="153">
        <v>9</v>
      </c>
      <c r="Y190" s="153">
        <v>1</v>
      </c>
      <c r="Z190" s="153">
        <v>4</v>
      </c>
      <c r="AA190" s="153">
        <v>5</v>
      </c>
      <c r="AB190" s="153">
        <v>65</v>
      </c>
      <c r="AC190" s="153">
        <v>1</v>
      </c>
      <c r="AD190" s="153">
        <v>23</v>
      </c>
      <c r="AE190" s="153">
        <v>1</v>
      </c>
      <c r="AF190" s="153">
        <v>0</v>
      </c>
      <c r="AG190" s="153">
        <v>10</v>
      </c>
      <c r="AH190" s="153">
        <v>6</v>
      </c>
      <c r="AI190" s="153">
        <v>39</v>
      </c>
      <c r="AJ190" s="153">
        <v>9</v>
      </c>
      <c r="AK190" s="46">
        <f>SUM(B190:AJ190)</f>
        <v>781</v>
      </c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</row>
    <row r="191" spans="1:61" x14ac:dyDescent="0.2">
      <c r="A191" s="110" t="s">
        <v>93</v>
      </c>
      <c r="B191" s="44">
        <v>1164</v>
      </c>
      <c r="C191" s="44">
        <v>131</v>
      </c>
      <c r="D191" s="44">
        <v>157</v>
      </c>
      <c r="E191" s="44">
        <v>37</v>
      </c>
      <c r="F191" s="44">
        <v>9</v>
      </c>
      <c r="G191" s="44">
        <v>1</v>
      </c>
      <c r="H191" s="44">
        <v>1</v>
      </c>
      <c r="I191" s="44">
        <v>3</v>
      </c>
      <c r="J191" s="44">
        <v>150</v>
      </c>
      <c r="K191" s="44">
        <v>1</v>
      </c>
      <c r="L191" s="44">
        <v>88</v>
      </c>
      <c r="M191" s="153">
        <v>6</v>
      </c>
      <c r="N191" s="153">
        <v>5</v>
      </c>
      <c r="O191" s="153">
        <v>2</v>
      </c>
      <c r="P191" s="153">
        <v>49</v>
      </c>
      <c r="Q191" s="153">
        <v>0</v>
      </c>
      <c r="R191" s="153">
        <v>0</v>
      </c>
      <c r="S191" s="153">
        <v>0</v>
      </c>
      <c r="T191" s="153">
        <v>39</v>
      </c>
      <c r="U191" s="153">
        <v>21</v>
      </c>
      <c r="V191" s="153">
        <v>27</v>
      </c>
      <c r="W191" s="153">
        <v>21</v>
      </c>
      <c r="X191" s="153">
        <v>34</v>
      </c>
      <c r="Y191" s="153">
        <v>10</v>
      </c>
      <c r="Z191" s="153">
        <v>79</v>
      </c>
      <c r="AA191" s="153">
        <v>16</v>
      </c>
      <c r="AB191" s="153">
        <v>30</v>
      </c>
      <c r="AC191" s="153">
        <v>0</v>
      </c>
      <c r="AD191" s="153">
        <v>28</v>
      </c>
      <c r="AE191" s="153">
        <v>2</v>
      </c>
      <c r="AF191" s="153">
        <v>4</v>
      </c>
      <c r="AG191" s="153">
        <v>428</v>
      </c>
      <c r="AH191" s="153">
        <v>269</v>
      </c>
      <c r="AI191" s="153">
        <v>110</v>
      </c>
      <c r="AJ191" s="153">
        <v>67</v>
      </c>
      <c r="AK191" s="46">
        <f>SUM(B191:AJ191)</f>
        <v>2989</v>
      </c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</row>
    <row r="192" spans="1:61" x14ac:dyDescent="0.2">
      <c r="A192" s="110" t="s">
        <v>1</v>
      </c>
      <c r="B192" s="44">
        <v>276</v>
      </c>
      <c r="C192" s="44">
        <v>36</v>
      </c>
      <c r="D192" s="44">
        <v>51</v>
      </c>
      <c r="E192" s="44">
        <v>9</v>
      </c>
      <c r="F192" s="44">
        <v>59</v>
      </c>
      <c r="G192" s="44">
        <v>22</v>
      </c>
      <c r="H192" s="44">
        <v>3</v>
      </c>
      <c r="I192" s="44">
        <v>62</v>
      </c>
      <c r="J192" s="44">
        <v>515</v>
      </c>
      <c r="K192" s="44">
        <v>0</v>
      </c>
      <c r="L192" s="44">
        <v>97</v>
      </c>
      <c r="M192" s="153">
        <v>0</v>
      </c>
      <c r="N192" s="153">
        <v>0</v>
      </c>
      <c r="O192" s="153">
        <v>0</v>
      </c>
      <c r="P192" s="153">
        <v>0</v>
      </c>
      <c r="Q192" s="153">
        <v>0</v>
      </c>
      <c r="R192" s="153">
        <v>0</v>
      </c>
      <c r="S192" s="153">
        <v>0</v>
      </c>
      <c r="T192" s="153">
        <v>0</v>
      </c>
      <c r="U192" s="153">
        <v>0</v>
      </c>
      <c r="V192" s="153">
        <v>3</v>
      </c>
      <c r="W192" s="153">
        <v>0</v>
      </c>
      <c r="X192" s="153">
        <v>0</v>
      </c>
      <c r="Y192" s="153">
        <v>0</v>
      </c>
      <c r="Z192" s="153">
        <v>0</v>
      </c>
      <c r="AA192" s="153">
        <v>0</v>
      </c>
      <c r="AB192" s="153">
        <v>0</v>
      </c>
      <c r="AC192" s="153">
        <v>0</v>
      </c>
      <c r="AD192" s="153">
        <v>0</v>
      </c>
      <c r="AE192" s="153">
        <v>0</v>
      </c>
      <c r="AF192" s="153">
        <v>0</v>
      </c>
      <c r="AG192" s="153">
        <v>1</v>
      </c>
      <c r="AH192" s="153">
        <v>17</v>
      </c>
      <c r="AI192" s="153">
        <v>50</v>
      </c>
      <c r="AJ192" s="153">
        <v>13</v>
      </c>
      <c r="AK192" s="46">
        <f>SUM(B192:AJ192)</f>
        <v>1214</v>
      </c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</row>
    <row r="193" spans="1:61" x14ac:dyDescent="0.2">
      <c r="A193" s="154" t="s">
        <v>7</v>
      </c>
      <c r="B193" s="155">
        <f t="shared" ref="B193:AJ193" si="31">B190+B191+B192</f>
        <v>1891</v>
      </c>
      <c r="C193" s="155">
        <f t="shared" si="31"/>
        <v>218</v>
      </c>
      <c r="D193" s="155">
        <f t="shared" si="31"/>
        <v>242</v>
      </c>
      <c r="E193" s="155">
        <f t="shared" si="31"/>
        <v>46</v>
      </c>
      <c r="F193" s="155">
        <f t="shared" si="31"/>
        <v>70</v>
      </c>
      <c r="G193" s="155">
        <f t="shared" si="31"/>
        <v>26</v>
      </c>
      <c r="H193" s="155">
        <f t="shared" si="31"/>
        <v>5</v>
      </c>
      <c r="I193" s="156">
        <f>I190+I191+I192</f>
        <v>65</v>
      </c>
      <c r="J193" s="156">
        <f>J190+J191+J192</f>
        <v>687</v>
      </c>
      <c r="K193" s="156">
        <f>K190+K191+K192</f>
        <v>1</v>
      </c>
      <c r="L193" s="155">
        <f t="shared" si="31"/>
        <v>206</v>
      </c>
      <c r="M193" s="156">
        <f t="shared" si="31"/>
        <v>9</v>
      </c>
      <c r="N193" s="156">
        <f t="shared" si="31"/>
        <v>5</v>
      </c>
      <c r="O193" s="156">
        <f t="shared" si="31"/>
        <v>3</v>
      </c>
      <c r="P193" s="156">
        <f t="shared" si="31"/>
        <v>52</v>
      </c>
      <c r="Q193" s="156">
        <f t="shared" si="31"/>
        <v>0</v>
      </c>
      <c r="R193" s="156">
        <f t="shared" si="31"/>
        <v>0</v>
      </c>
      <c r="S193" s="156">
        <f t="shared" si="31"/>
        <v>0</v>
      </c>
      <c r="T193" s="156">
        <f t="shared" si="31"/>
        <v>43</v>
      </c>
      <c r="U193" s="156">
        <f t="shared" si="31"/>
        <v>25</v>
      </c>
      <c r="V193" s="156">
        <f t="shared" si="31"/>
        <v>32</v>
      </c>
      <c r="W193" s="156">
        <f t="shared" si="31"/>
        <v>27</v>
      </c>
      <c r="X193" s="156">
        <f t="shared" si="31"/>
        <v>43</v>
      </c>
      <c r="Y193" s="156">
        <f t="shared" si="31"/>
        <v>11</v>
      </c>
      <c r="Z193" s="156">
        <f t="shared" si="31"/>
        <v>83</v>
      </c>
      <c r="AA193" s="156">
        <f t="shared" si="31"/>
        <v>21</v>
      </c>
      <c r="AB193" s="156">
        <f t="shared" si="31"/>
        <v>95</v>
      </c>
      <c r="AC193" s="156">
        <f t="shared" si="31"/>
        <v>1</v>
      </c>
      <c r="AD193" s="156">
        <f t="shared" si="31"/>
        <v>51</v>
      </c>
      <c r="AE193" s="156">
        <f t="shared" si="31"/>
        <v>3</v>
      </c>
      <c r="AF193" s="156">
        <f t="shared" si="31"/>
        <v>4</v>
      </c>
      <c r="AG193" s="156">
        <f t="shared" si="31"/>
        <v>439</v>
      </c>
      <c r="AH193" s="156">
        <f t="shared" si="31"/>
        <v>292</v>
      </c>
      <c r="AI193" s="156">
        <f t="shared" si="31"/>
        <v>199</v>
      </c>
      <c r="AJ193" s="156">
        <f t="shared" si="31"/>
        <v>89</v>
      </c>
      <c r="AK193" s="157">
        <f>SUM(AK190:AK192)</f>
        <v>4984</v>
      </c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</row>
    <row r="194" spans="1:61" x14ac:dyDescent="0.2">
      <c r="A194" s="120" t="s">
        <v>66</v>
      </c>
      <c r="B194" s="45" t="s">
        <v>138</v>
      </c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158"/>
      <c r="N194" s="158"/>
      <c r="O194" s="158"/>
      <c r="P194" s="158"/>
      <c r="Q194" s="158"/>
      <c r="R194" s="158"/>
      <c r="S194" s="158"/>
      <c r="T194" s="158"/>
      <c r="U194" s="158"/>
      <c r="V194" s="158"/>
      <c r="W194" s="158"/>
      <c r="X194" s="158"/>
      <c r="Y194" s="158"/>
      <c r="Z194" s="158"/>
      <c r="AA194" s="158"/>
      <c r="AB194" s="158"/>
      <c r="AC194" s="158"/>
      <c r="AD194" s="158"/>
      <c r="AE194" s="158"/>
      <c r="AF194" s="158"/>
      <c r="AG194" s="158"/>
      <c r="AH194" s="158"/>
      <c r="AI194" s="158"/>
      <c r="AJ194" s="158"/>
      <c r="AK194" s="46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</row>
    <row r="195" spans="1:61" x14ac:dyDescent="0.2">
      <c r="A195" s="110" t="s">
        <v>92</v>
      </c>
      <c r="B195" s="44">
        <v>518</v>
      </c>
      <c r="C195" s="44">
        <v>22</v>
      </c>
      <c r="D195" s="44">
        <v>47</v>
      </c>
      <c r="E195" s="44">
        <v>3</v>
      </c>
      <c r="F195" s="44">
        <v>3</v>
      </c>
      <c r="G195" s="44">
        <v>0</v>
      </c>
      <c r="H195" s="44">
        <v>0</v>
      </c>
      <c r="I195" s="44">
        <v>2</v>
      </c>
      <c r="J195" s="44">
        <v>11</v>
      </c>
      <c r="K195" s="44">
        <v>0</v>
      </c>
      <c r="L195" s="44">
        <v>6</v>
      </c>
      <c r="M195" s="153">
        <v>8</v>
      </c>
      <c r="N195" s="153">
        <v>0</v>
      </c>
      <c r="O195" s="153">
        <v>0</v>
      </c>
      <c r="P195" s="153">
        <v>37</v>
      </c>
      <c r="Q195" s="153">
        <v>1</v>
      </c>
      <c r="R195" s="153">
        <v>1</v>
      </c>
      <c r="S195" s="153">
        <v>0</v>
      </c>
      <c r="T195" s="153">
        <v>5</v>
      </c>
      <c r="U195" s="153">
        <v>9</v>
      </c>
      <c r="V195" s="153">
        <v>5</v>
      </c>
      <c r="W195" s="153">
        <v>8</v>
      </c>
      <c r="X195" s="153">
        <v>7</v>
      </c>
      <c r="Y195" s="153">
        <v>3</v>
      </c>
      <c r="Z195" s="153">
        <v>8</v>
      </c>
      <c r="AA195" s="153">
        <v>5</v>
      </c>
      <c r="AB195" s="153">
        <v>75</v>
      </c>
      <c r="AC195" s="153">
        <v>2</v>
      </c>
      <c r="AD195" s="153">
        <v>19</v>
      </c>
      <c r="AE195" s="153">
        <v>1</v>
      </c>
      <c r="AF195" s="153">
        <v>3</v>
      </c>
      <c r="AG195" s="153">
        <v>8</v>
      </c>
      <c r="AH195" s="153">
        <v>5</v>
      </c>
      <c r="AI195" s="153">
        <v>35</v>
      </c>
      <c r="AJ195" s="153">
        <v>16</v>
      </c>
      <c r="AK195" s="46">
        <f>SUM(B195:AJ195)</f>
        <v>873</v>
      </c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</row>
    <row r="196" spans="1:61" x14ac:dyDescent="0.2">
      <c r="A196" s="110" t="s">
        <v>93</v>
      </c>
      <c r="B196" s="44">
        <v>1595</v>
      </c>
      <c r="C196" s="44">
        <v>119</v>
      </c>
      <c r="D196" s="44">
        <v>139</v>
      </c>
      <c r="E196" s="44">
        <v>24</v>
      </c>
      <c r="F196" s="44">
        <v>11</v>
      </c>
      <c r="G196" s="44">
        <v>4</v>
      </c>
      <c r="H196" s="44">
        <v>3</v>
      </c>
      <c r="I196" s="44">
        <v>3</v>
      </c>
      <c r="J196" s="44">
        <v>194</v>
      </c>
      <c r="K196" s="44">
        <v>0</v>
      </c>
      <c r="L196" s="44">
        <v>100</v>
      </c>
      <c r="M196" s="153">
        <v>2</v>
      </c>
      <c r="N196" s="153">
        <v>9</v>
      </c>
      <c r="O196" s="153">
        <v>0</v>
      </c>
      <c r="P196" s="153">
        <v>49</v>
      </c>
      <c r="Q196" s="153">
        <v>0</v>
      </c>
      <c r="R196" s="153">
        <v>0</v>
      </c>
      <c r="S196" s="153">
        <v>1</v>
      </c>
      <c r="T196" s="153">
        <v>29</v>
      </c>
      <c r="U196" s="153">
        <v>25</v>
      </c>
      <c r="V196" s="153">
        <v>18</v>
      </c>
      <c r="W196" s="153">
        <v>18</v>
      </c>
      <c r="X196" s="153">
        <v>28</v>
      </c>
      <c r="Y196" s="153">
        <v>3</v>
      </c>
      <c r="Z196" s="153">
        <v>39</v>
      </c>
      <c r="AA196" s="153">
        <v>9</v>
      </c>
      <c r="AB196" s="153">
        <v>34</v>
      </c>
      <c r="AC196" s="153">
        <v>4</v>
      </c>
      <c r="AD196" s="153">
        <v>37</v>
      </c>
      <c r="AE196" s="153">
        <v>7</v>
      </c>
      <c r="AF196" s="153">
        <v>6</v>
      </c>
      <c r="AG196" s="153">
        <v>396</v>
      </c>
      <c r="AH196" s="153">
        <v>297</v>
      </c>
      <c r="AI196" s="153">
        <v>86</v>
      </c>
      <c r="AJ196" s="153">
        <v>52</v>
      </c>
      <c r="AK196" s="46">
        <f>SUM(B196:AJ196)</f>
        <v>3341</v>
      </c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</row>
    <row r="197" spans="1:61" x14ac:dyDescent="0.2">
      <c r="A197" s="110" t="s">
        <v>1</v>
      </c>
      <c r="B197" s="44">
        <v>537</v>
      </c>
      <c r="C197" s="44">
        <v>48</v>
      </c>
      <c r="D197" s="44">
        <v>90</v>
      </c>
      <c r="E197" s="44">
        <v>9</v>
      </c>
      <c r="F197" s="44">
        <v>68</v>
      </c>
      <c r="G197" s="44">
        <v>36</v>
      </c>
      <c r="H197" s="44">
        <v>10</v>
      </c>
      <c r="I197" s="44">
        <v>10</v>
      </c>
      <c r="J197" s="44">
        <v>304</v>
      </c>
      <c r="K197" s="44">
        <v>0</v>
      </c>
      <c r="L197" s="44">
        <v>118</v>
      </c>
      <c r="M197" s="153">
        <v>0</v>
      </c>
      <c r="N197" s="153">
        <v>0</v>
      </c>
      <c r="O197" s="153">
        <v>0</v>
      </c>
      <c r="P197" s="153">
        <v>0</v>
      </c>
      <c r="Q197" s="153">
        <v>0</v>
      </c>
      <c r="R197" s="153">
        <v>0</v>
      </c>
      <c r="S197" s="153">
        <v>0</v>
      </c>
      <c r="T197" s="153">
        <v>1</v>
      </c>
      <c r="U197" s="153">
        <v>0</v>
      </c>
      <c r="V197" s="153">
        <v>0</v>
      </c>
      <c r="W197" s="153">
        <v>0</v>
      </c>
      <c r="X197" s="153">
        <v>0</v>
      </c>
      <c r="Y197" s="153">
        <v>0</v>
      </c>
      <c r="Z197" s="153">
        <v>0</v>
      </c>
      <c r="AA197" s="153">
        <v>0</v>
      </c>
      <c r="AB197" s="153">
        <v>0</v>
      </c>
      <c r="AC197" s="153">
        <v>0</v>
      </c>
      <c r="AD197" s="153">
        <v>0</v>
      </c>
      <c r="AE197" s="153">
        <v>0</v>
      </c>
      <c r="AF197" s="153">
        <v>0</v>
      </c>
      <c r="AG197" s="153">
        <v>0</v>
      </c>
      <c r="AH197" s="153">
        <v>22</v>
      </c>
      <c r="AI197" s="153">
        <v>59</v>
      </c>
      <c r="AJ197" s="153">
        <v>23</v>
      </c>
      <c r="AK197" s="46">
        <f>SUM(B197:AJ197)</f>
        <v>1335</v>
      </c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</row>
    <row r="198" spans="1:61" x14ac:dyDescent="0.2">
      <c r="A198" s="154" t="s">
        <v>7</v>
      </c>
      <c r="B198" s="155">
        <f t="shared" ref="B198:AJ198" si="32">B195+B196+B197</f>
        <v>2650</v>
      </c>
      <c r="C198" s="155">
        <f t="shared" si="32"/>
        <v>189</v>
      </c>
      <c r="D198" s="155">
        <f t="shared" si="32"/>
        <v>276</v>
      </c>
      <c r="E198" s="155">
        <f t="shared" si="32"/>
        <v>36</v>
      </c>
      <c r="F198" s="155">
        <f t="shared" si="32"/>
        <v>82</v>
      </c>
      <c r="G198" s="155">
        <f t="shared" si="32"/>
        <v>40</v>
      </c>
      <c r="H198" s="155">
        <f t="shared" si="32"/>
        <v>13</v>
      </c>
      <c r="I198" s="155">
        <f>I195+I196+I197</f>
        <v>15</v>
      </c>
      <c r="J198" s="155">
        <f>J195+J196+J197</f>
        <v>509</v>
      </c>
      <c r="K198" s="156">
        <f>K195+K196+K197</f>
        <v>0</v>
      </c>
      <c r="L198" s="155">
        <f t="shared" si="32"/>
        <v>224</v>
      </c>
      <c r="M198" s="156">
        <f t="shared" si="32"/>
        <v>10</v>
      </c>
      <c r="N198" s="156">
        <f t="shared" si="32"/>
        <v>9</v>
      </c>
      <c r="O198" s="156">
        <f t="shared" si="32"/>
        <v>0</v>
      </c>
      <c r="P198" s="156">
        <f t="shared" si="32"/>
        <v>86</v>
      </c>
      <c r="Q198" s="156">
        <f t="shared" si="32"/>
        <v>1</v>
      </c>
      <c r="R198" s="156">
        <f t="shared" si="32"/>
        <v>1</v>
      </c>
      <c r="S198" s="156">
        <f t="shared" si="32"/>
        <v>1</v>
      </c>
      <c r="T198" s="156">
        <f t="shared" si="32"/>
        <v>35</v>
      </c>
      <c r="U198" s="156">
        <f t="shared" si="32"/>
        <v>34</v>
      </c>
      <c r="V198" s="156">
        <f t="shared" si="32"/>
        <v>23</v>
      </c>
      <c r="W198" s="156">
        <f t="shared" si="32"/>
        <v>26</v>
      </c>
      <c r="X198" s="156">
        <f t="shared" si="32"/>
        <v>35</v>
      </c>
      <c r="Y198" s="156">
        <f t="shared" si="32"/>
        <v>6</v>
      </c>
      <c r="Z198" s="156">
        <f t="shared" si="32"/>
        <v>47</v>
      </c>
      <c r="AA198" s="156">
        <f t="shared" si="32"/>
        <v>14</v>
      </c>
      <c r="AB198" s="156">
        <f t="shared" si="32"/>
        <v>109</v>
      </c>
      <c r="AC198" s="156">
        <f t="shared" si="32"/>
        <v>6</v>
      </c>
      <c r="AD198" s="156">
        <f t="shared" si="32"/>
        <v>56</v>
      </c>
      <c r="AE198" s="156">
        <f t="shared" si="32"/>
        <v>8</v>
      </c>
      <c r="AF198" s="156">
        <f t="shared" si="32"/>
        <v>9</v>
      </c>
      <c r="AG198" s="156">
        <f t="shared" si="32"/>
        <v>404</v>
      </c>
      <c r="AH198" s="156">
        <f t="shared" si="32"/>
        <v>324</v>
      </c>
      <c r="AI198" s="156">
        <f t="shared" si="32"/>
        <v>180</v>
      </c>
      <c r="AJ198" s="156">
        <f t="shared" si="32"/>
        <v>91</v>
      </c>
      <c r="AK198" s="157">
        <f>SUM(AK195:AK197)</f>
        <v>5549</v>
      </c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</row>
    <row r="199" spans="1:61" x14ac:dyDescent="0.2">
      <c r="A199" s="120" t="s">
        <v>67</v>
      </c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158"/>
      <c r="N199" s="158"/>
      <c r="O199" s="158"/>
      <c r="P199" s="158"/>
      <c r="Q199" s="158"/>
      <c r="R199" s="158"/>
      <c r="S199" s="158"/>
      <c r="T199" s="158"/>
      <c r="U199" s="158"/>
      <c r="V199" s="158"/>
      <c r="W199" s="158"/>
      <c r="X199" s="158"/>
      <c r="Y199" s="158"/>
      <c r="Z199" s="158"/>
      <c r="AA199" s="158"/>
      <c r="AB199" s="158"/>
      <c r="AC199" s="158"/>
      <c r="AD199" s="158"/>
      <c r="AE199" s="158"/>
      <c r="AF199" s="158"/>
      <c r="AG199" s="158"/>
      <c r="AH199" s="158"/>
      <c r="AI199" s="158"/>
      <c r="AJ199" s="158"/>
      <c r="AK199" s="46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</row>
    <row r="200" spans="1:61" x14ac:dyDescent="0.2">
      <c r="A200" s="110" t="s">
        <v>92</v>
      </c>
      <c r="B200" s="44">
        <v>43</v>
      </c>
      <c r="C200" s="44">
        <v>4</v>
      </c>
      <c r="D200" s="44">
        <v>0</v>
      </c>
      <c r="E200" s="44">
        <v>0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0</v>
      </c>
      <c r="M200" s="153">
        <v>0</v>
      </c>
      <c r="N200" s="153">
        <v>0</v>
      </c>
      <c r="O200" s="153">
        <v>0</v>
      </c>
      <c r="P200" s="153">
        <v>0</v>
      </c>
      <c r="Q200" s="153">
        <v>0</v>
      </c>
      <c r="R200" s="153">
        <v>0</v>
      </c>
      <c r="S200" s="153">
        <v>0</v>
      </c>
      <c r="T200" s="153">
        <v>0</v>
      </c>
      <c r="U200" s="153">
        <v>0</v>
      </c>
      <c r="V200" s="153">
        <v>0</v>
      </c>
      <c r="W200" s="153">
        <v>0</v>
      </c>
      <c r="X200" s="153">
        <v>0</v>
      </c>
      <c r="Y200" s="153">
        <v>0</v>
      </c>
      <c r="Z200" s="153">
        <v>2</v>
      </c>
      <c r="AA200" s="153">
        <v>0</v>
      </c>
      <c r="AB200" s="153">
        <v>4</v>
      </c>
      <c r="AC200" s="153">
        <v>0</v>
      </c>
      <c r="AD200" s="153">
        <v>0</v>
      </c>
      <c r="AE200" s="153">
        <v>1</v>
      </c>
      <c r="AF200" s="153">
        <v>1</v>
      </c>
      <c r="AG200" s="153">
        <v>0</v>
      </c>
      <c r="AH200" s="153">
        <v>0</v>
      </c>
      <c r="AI200" s="153">
        <v>3</v>
      </c>
      <c r="AJ200" s="153">
        <v>0</v>
      </c>
      <c r="AK200" s="46">
        <f>SUM(B200:AJ200)</f>
        <v>58</v>
      </c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</row>
    <row r="201" spans="1:61" x14ac:dyDescent="0.2">
      <c r="A201" s="110" t="s">
        <v>93</v>
      </c>
      <c r="B201" s="44">
        <v>1991</v>
      </c>
      <c r="C201" s="44">
        <v>156</v>
      </c>
      <c r="D201" s="44">
        <v>197</v>
      </c>
      <c r="E201" s="44">
        <v>37</v>
      </c>
      <c r="F201" s="44">
        <v>38</v>
      </c>
      <c r="G201" s="44">
        <v>9</v>
      </c>
      <c r="H201" s="44">
        <v>8</v>
      </c>
      <c r="I201" s="44">
        <v>8</v>
      </c>
      <c r="J201" s="44">
        <v>240</v>
      </c>
      <c r="K201" s="44">
        <v>0</v>
      </c>
      <c r="L201" s="44">
        <v>157</v>
      </c>
      <c r="M201" s="153">
        <v>0</v>
      </c>
      <c r="N201" s="153">
        <v>1</v>
      </c>
      <c r="O201" s="153">
        <v>3</v>
      </c>
      <c r="P201" s="153">
        <v>57</v>
      </c>
      <c r="Q201" s="153">
        <v>3</v>
      </c>
      <c r="R201" s="153">
        <v>0</v>
      </c>
      <c r="S201" s="153">
        <v>0</v>
      </c>
      <c r="T201" s="153">
        <v>38</v>
      </c>
      <c r="U201" s="153">
        <v>30</v>
      </c>
      <c r="V201" s="153">
        <v>30</v>
      </c>
      <c r="W201" s="153">
        <v>25</v>
      </c>
      <c r="X201" s="153">
        <v>40</v>
      </c>
      <c r="Y201" s="153">
        <v>5</v>
      </c>
      <c r="Z201" s="153">
        <v>79</v>
      </c>
      <c r="AA201" s="153">
        <v>31</v>
      </c>
      <c r="AB201" s="153">
        <v>30</v>
      </c>
      <c r="AC201" s="153">
        <v>0</v>
      </c>
      <c r="AD201" s="153">
        <v>70</v>
      </c>
      <c r="AE201" s="153">
        <v>7</v>
      </c>
      <c r="AF201" s="153">
        <v>7</v>
      </c>
      <c r="AG201" s="153">
        <v>529</v>
      </c>
      <c r="AH201" s="153">
        <v>507</v>
      </c>
      <c r="AI201" s="153">
        <v>90</v>
      </c>
      <c r="AJ201" s="153">
        <v>54</v>
      </c>
      <c r="AK201" s="46">
        <f>SUM(B201:AJ201)</f>
        <v>4477</v>
      </c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</row>
    <row r="202" spans="1:61" x14ac:dyDescent="0.2">
      <c r="A202" s="110" t="s">
        <v>1</v>
      </c>
      <c r="B202" s="44">
        <v>438</v>
      </c>
      <c r="C202" s="44">
        <v>55</v>
      </c>
      <c r="D202" s="44">
        <v>32</v>
      </c>
      <c r="E202" s="44">
        <v>3</v>
      </c>
      <c r="F202" s="44">
        <v>29</v>
      </c>
      <c r="G202" s="44">
        <v>3</v>
      </c>
      <c r="H202" s="44">
        <v>8</v>
      </c>
      <c r="I202" s="44">
        <v>0</v>
      </c>
      <c r="J202" s="44">
        <v>132</v>
      </c>
      <c r="K202" s="44">
        <v>0</v>
      </c>
      <c r="L202" s="44">
        <v>67</v>
      </c>
      <c r="M202" s="153">
        <v>0</v>
      </c>
      <c r="N202" s="153">
        <v>0</v>
      </c>
      <c r="O202" s="153">
        <v>0</v>
      </c>
      <c r="P202" s="153">
        <v>0</v>
      </c>
      <c r="Q202" s="153">
        <v>0</v>
      </c>
      <c r="R202" s="153">
        <v>0</v>
      </c>
      <c r="S202" s="153">
        <v>0</v>
      </c>
      <c r="T202" s="153">
        <v>0</v>
      </c>
      <c r="U202" s="153">
        <v>0</v>
      </c>
      <c r="V202" s="153">
        <v>0</v>
      </c>
      <c r="W202" s="153">
        <v>0</v>
      </c>
      <c r="X202" s="153">
        <v>0</v>
      </c>
      <c r="Y202" s="153">
        <v>0</v>
      </c>
      <c r="Z202" s="153">
        <v>0</v>
      </c>
      <c r="AA202" s="153">
        <v>0</v>
      </c>
      <c r="AB202" s="153">
        <v>0</v>
      </c>
      <c r="AC202" s="153">
        <v>0</v>
      </c>
      <c r="AD202" s="153">
        <v>0</v>
      </c>
      <c r="AE202" s="153">
        <v>0</v>
      </c>
      <c r="AF202" s="153">
        <v>0</v>
      </c>
      <c r="AG202" s="153">
        <v>0</v>
      </c>
      <c r="AH202" s="153">
        <v>34</v>
      </c>
      <c r="AI202" s="153">
        <v>40</v>
      </c>
      <c r="AJ202" s="153">
        <v>14</v>
      </c>
      <c r="AK202" s="46">
        <f>SUM(B202:AJ202)</f>
        <v>855</v>
      </c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</row>
    <row r="203" spans="1:61" x14ac:dyDescent="0.2">
      <c r="A203" s="154" t="s">
        <v>7</v>
      </c>
      <c r="B203" s="155">
        <f>SUM(B200:B202)</f>
        <v>2472</v>
      </c>
      <c r="C203" s="155">
        <f t="shared" ref="C203:L203" si="33">SUM(C200:C202)</f>
        <v>215</v>
      </c>
      <c r="D203" s="155">
        <f t="shared" si="33"/>
        <v>229</v>
      </c>
      <c r="E203" s="155">
        <f t="shared" si="33"/>
        <v>40</v>
      </c>
      <c r="F203" s="155">
        <f t="shared" si="33"/>
        <v>67</v>
      </c>
      <c r="G203" s="155">
        <f t="shared" si="33"/>
        <v>12</v>
      </c>
      <c r="H203" s="155">
        <f t="shared" si="33"/>
        <v>16</v>
      </c>
      <c r="I203" s="156">
        <f>SUM(I200:I202)</f>
        <v>8</v>
      </c>
      <c r="J203" s="156">
        <f>SUM(J200:J202)</f>
        <v>372</v>
      </c>
      <c r="K203" s="156">
        <f>SUM(K200:K202)</f>
        <v>0</v>
      </c>
      <c r="L203" s="156">
        <f t="shared" si="33"/>
        <v>224</v>
      </c>
      <c r="M203" s="156">
        <f t="shared" ref="M203:AK203" si="34">M200+M201+M202</f>
        <v>0</v>
      </c>
      <c r="N203" s="156">
        <f t="shared" si="34"/>
        <v>1</v>
      </c>
      <c r="O203" s="156">
        <f t="shared" si="34"/>
        <v>3</v>
      </c>
      <c r="P203" s="156">
        <f t="shared" si="34"/>
        <v>57</v>
      </c>
      <c r="Q203" s="156">
        <f t="shared" si="34"/>
        <v>3</v>
      </c>
      <c r="R203" s="156">
        <f t="shared" si="34"/>
        <v>0</v>
      </c>
      <c r="S203" s="156">
        <f t="shared" si="34"/>
        <v>0</v>
      </c>
      <c r="T203" s="156">
        <f t="shared" si="34"/>
        <v>38</v>
      </c>
      <c r="U203" s="156">
        <f t="shared" si="34"/>
        <v>30</v>
      </c>
      <c r="V203" s="156">
        <f t="shared" si="34"/>
        <v>30</v>
      </c>
      <c r="W203" s="156">
        <f t="shared" si="34"/>
        <v>25</v>
      </c>
      <c r="X203" s="156">
        <f t="shared" si="34"/>
        <v>40</v>
      </c>
      <c r="Y203" s="156">
        <f t="shared" si="34"/>
        <v>5</v>
      </c>
      <c r="Z203" s="156">
        <f t="shared" si="34"/>
        <v>81</v>
      </c>
      <c r="AA203" s="156">
        <f t="shared" si="34"/>
        <v>31</v>
      </c>
      <c r="AB203" s="156">
        <f t="shared" si="34"/>
        <v>34</v>
      </c>
      <c r="AC203" s="156">
        <f t="shared" si="34"/>
        <v>0</v>
      </c>
      <c r="AD203" s="156">
        <f t="shared" si="34"/>
        <v>70</v>
      </c>
      <c r="AE203" s="156">
        <f t="shared" si="34"/>
        <v>8</v>
      </c>
      <c r="AF203" s="156">
        <f t="shared" si="34"/>
        <v>8</v>
      </c>
      <c r="AG203" s="156">
        <f t="shared" si="34"/>
        <v>529</v>
      </c>
      <c r="AH203" s="156">
        <f t="shared" si="34"/>
        <v>541</v>
      </c>
      <c r="AI203" s="156">
        <f t="shared" si="34"/>
        <v>133</v>
      </c>
      <c r="AJ203" s="156">
        <f t="shared" si="34"/>
        <v>68</v>
      </c>
      <c r="AK203" s="157">
        <f t="shared" si="34"/>
        <v>5390</v>
      </c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</row>
    <row r="204" spans="1:61" x14ac:dyDescent="0.2">
      <c r="A204" s="120" t="s">
        <v>68</v>
      </c>
      <c r="B204" s="158"/>
      <c r="C204" s="158"/>
      <c r="D204" s="158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8"/>
      <c r="R204" s="158"/>
      <c r="S204" s="158"/>
      <c r="T204" s="158"/>
      <c r="U204" s="158"/>
      <c r="V204" s="158"/>
      <c r="W204" s="158"/>
      <c r="X204" s="158"/>
      <c r="Y204" s="158"/>
      <c r="Z204" s="158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8"/>
      <c r="AK204" s="46"/>
      <c r="AL204" s="31"/>
      <c r="AM204" s="31">
        <v>10</v>
      </c>
      <c r="AN204" s="31"/>
      <c r="AO204" s="31">
        <v>65</v>
      </c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</row>
    <row r="205" spans="1:61" x14ac:dyDescent="0.2">
      <c r="A205" s="110" t="s">
        <v>92</v>
      </c>
      <c r="B205" s="44">
        <v>646</v>
      </c>
      <c r="C205" s="44">
        <v>30</v>
      </c>
      <c r="D205" s="44">
        <v>51</v>
      </c>
      <c r="E205" s="44">
        <v>4</v>
      </c>
      <c r="F205" s="44">
        <v>4</v>
      </c>
      <c r="G205" s="44">
        <v>0</v>
      </c>
      <c r="H205" s="44">
        <v>0</v>
      </c>
      <c r="I205" s="44">
        <v>7</v>
      </c>
      <c r="J205" s="44">
        <v>14</v>
      </c>
      <c r="K205" s="44">
        <v>0</v>
      </c>
      <c r="L205" s="44">
        <v>27</v>
      </c>
      <c r="M205" s="153">
        <v>17</v>
      </c>
      <c r="N205" s="153">
        <v>1</v>
      </c>
      <c r="O205" s="153">
        <v>0</v>
      </c>
      <c r="P205" s="153">
        <v>8</v>
      </c>
      <c r="Q205" s="153">
        <v>0</v>
      </c>
      <c r="R205" s="153">
        <v>0</v>
      </c>
      <c r="S205" s="153">
        <v>2</v>
      </c>
      <c r="T205" s="153">
        <v>6</v>
      </c>
      <c r="U205" s="153">
        <v>4</v>
      </c>
      <c r="V205" s="153">
        <v>0</v>
      </c>
      <c r="W205" s="153">
        <v>4</v>
      </c>
      <c r="X205" s="153">
        <v>3</v>
      </c>
      <c r="Y205" s="153">
        <v>3</v>
      </c>
      <c r="Z205" s="153">
        <v>6</v>
      </c>
      <c r="AA205" s="153">
        <v>5</v>
      </c>
      <c r="AB205" s="153">
        <v>56</v>
      </c>
      <c r="AC205" s="153">
        <v>0</v>
      </c>
      <c r="AD205" s="153">
        <v>23</v>
      </c>
      <c r="AE205" s="153">
        <v>0</v>
      </c>
      <c r="AF205" s="153">
        <v>0</v>
      </c>
      <c r="AG205" s="153">
        <v>10</v>
      </c>
      <c r="AH205" s="153">
        <v>4</v>
      </c>
      <c r="AI205" s="153">
        <v>54</v>
      </c>
      <c r="AJ205" s="153">
        <v>12</v>
      </c>
      <c r="AK205" s="46">
        <f>SUM(B205:AJ205)</f>
        <v>1001</v>
      </c>
      <c r="AL205" s="31"/>
      <c r="AM205" s="31">
        <v>1</v>
      </c>
      <c r="AN205" s="31"/>
      <c r="AO205" s="31">
        <v>6</v>
      </c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</row>
    <row r="206" spans="1:61" x14ac:dyDescent="0.2">
      <c r="A206" s="110" t="s">
        <v>93</v>
      </c>
      <c r="B206" s="44">
        <v>2029</v>
      </c>
      <c r="C206" s="44">
        <v>190</v>
      </c>
      <c r="D206" s="44">
        <v>187</v>
      </c>
      <c r="E206" s="44">
        <v>41</v>
      </c>
      <c r="F206" s="44">
        <v>21</v>
      </c>
      <c r="G206" s="44">
        <v>14</v>
      </c>
      <c r="H206" s="44">
        <v>8</v>
      </c>
      <c r="I206" s="44">
        <v>19</v>
      </c>
      <c r="J206" s="44">
        <v>267</v>
      </c>
      <c r="K206" s="44">
        <v>1</v>
      </c>
      <c r="L206" s="44">
        <v>141</v>
      </c>
      <c r="M206" s="153">
        <v>3</v>
      </c>
      <c r="N206" s="153">
        <v>2</v>
      </c>
      <c r="O206" s="153">
        <v>0</v>
      </c>
      <c r="P206" s="153">
        <v>56</v>
      </c>
      <c r="Q206" s="153">
        <v>3</v>
      </c>
      <c r="R206" s="153">
        <v>1</v>
      </c>
      <c r="S206" s="153">
        <v>0</v>
      </c>
      <c r="T206" s="153">
        <v>56</v>
      </c>
      <c r="U206" s="153">
        <v>19</v>
      </c>
      <c r="V206" s="153">
        <v>19</v>
      </c>
      <c r="W206" s="153">
        <v>23</v>
      </c>
      <c r="X206" s="153">
        <v>42</v>
      </c>
      <c r="Y206" s="153">
        <v>8</v>
      </c>
      <c r="Z206" s="153">
        <v>68</v>
      </c>
      <c r="AA206" s="153">
        <v>14</v>
      </c>
      <c r="AB206" s="153">
        <v>34</v>
      </c>
      <c r="AC206" s="153">
        <v>0</v>
      </c>
      <c r="AD206" s="153">
        <v>37</v>
      </c>
      <c r="AE206" s="153">
        <v>6</v>
      </c>
      <c r="AF206" s="153">
        <v>8</v>
      </c>
      <c r="AG206" s="153">
        <v>567</v>
      </c>
      <c r="AH206" s="153">
        <v>479</v>
      </c>
      <c r="AI206" s="153">
        <v>96</v>
      </c>
      <c r="AJ206" s="153">
        <v>76</v>
      </c>
      <c r="AK206" s="46">
        <f>SUM(B206:AJ206)</f>
        <v>4535</v>
      </c>
      <c r="AL206" s="31"/>
      <c r="AM206" s="31">
        <v>1</v>
      </c>
      <c r="AN206" s="31"/>
      <c r="AO206" s="31">
        <v>46</v>
      </c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</row>
    <row r="207" spans="1:61" x14ac:dyDescent="0.2">
      <c r="A207" s="110" t="s">
        <v>1</v>
      </c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153"/>
      <c r="N207" s="153"/>
      <c r="O207" s="153"/>
      <c r="P207" s="153"/>
      <c r="Q207" s="153"/>
      <c r="R207" s="153"/>
      <c r="S207" s="153"/>
      <c r="T207" s="153"/>
      <c r="U207" s="153"/>
      <c r="V207" s="153"/>
      <c r="W207" s="153"/>
      <c r="X207" s="153"/>
      <c r="Y207" s="153"/>
      <c r="Z207" s="153"/>
      <c r="AA207" s="153"/>
      <c r="AB207" s="153"/>
      <c r="AC207" s="153"/>
      <c r="AD207" s="153"/>
      <c r="AE207" s="153"/>
      <c r="AF207" s="153"/>
      <c r="AG207" s="153"/>
      <c r="AH207" s="153"/>
      <c r="AI207" s="153"/>
      <c r="AJ207" s="153"/>
      <c r="AK207" s="46">
        <f>SUM(B207:AJ207)</f>
        <v>0</v>
      </c>
      <c r="AL207" s="31"/>
      <c r="AM207" s="31">
        <v>9</v>
      </c>
      <c r="AN207" s="31"/>
      <c r="AO207" s="31">
        <v>25</v>
      </c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</row>
    <row r="208" spans="1:61" x14ac:dyDescent="0.2">
      <c r="A208" s="154" t="s">
        <v>7</v>
      </c>
      <c r="B208" s="155">
        <f>SUM(B205:B207)</f>
        <v>2675</v>
      </c>
      <c r="C208" s="155">
        <f t="shared" ref="C208:AJ208" si="35">SUM(C205:C207)</f>
        <v>220</v>
      </c>
      <c r="D208" s="155">
        <f t="shared" si="35"/>
        <v>238</v>
      </c>
      <c r="E208" s="155">
        <f t="shared" si="35"/>
        <v>45</v>
      </c>
      <c r="F208" s="155">
        <f t="shared" si="35"/>
        <v>25</v>
      </c>
      <c r="G208" s="155">
        <f t="shared" si="35"/>
        <v>14</v>
      </c>
      <c r="H208" s="155">
        <f t="shared" si="35"/>
        <v>8</v>
      </c>
      <c r="I208" s="155">
        <f>SUM(I205:I207)</f>
        <v>26</v>
      </c>
      <c r="J208" s="155">
        <f>SUM(J205:J207)</f>
        <v>281</v>
      </c>
      <c r="K208" s="156">
        <f>SUM(K205:K207)</f>
        <v>1</v>
      </c>
      <c r="L208" s="155">
        <f t="shared" si="35"/>
        <v>168</v>
      </c>
      <c r="M208" s="156">
        <f t="shared" si="35"/>
        <v>20</v>
      </c>
      <c r="N208" s="156">
        <f t="shared" si="35"/>
        <v>3</v>
      </c>
      <c r="O208" s="156">
        <f t="shared" si="35"/>
        <v>0</v>
      </c>
      <c r="P208" s="156">
        <f t="shared" si="35"/>
        <v>64</v>
      </c>
      <c r="Q208" s="156">
        <f t="shared" si="35"/>
        <v>3</v>
      </c>
      <c r="R208" s="156">
        <f t="shared" si="35"/>
        <v>1</v>
      </c>
      <c r="S208" s="156">
        <f t="shared" si="35"/>
        <v>2</v>
      </c>
      <c r="T208" s="156">
        <f t="shared" si="35"/>
        <v>62</v>
      </c>
      <c r="U208" s="156">
        <f t="shared" si="35"/>
        <v>23</v>
      </c>
      <c r="V208" s="156">
        <f t="shared" si="35"/>
        <v>19</v>
      </c>
      <c r="W208" s="156">
        <f t="shared" si="35"/>
        <v>27</v>
      </c>
      <c r="X208" s="156">
        <f t="shared" si="35"/>
        <v>45</v>
      </c>
      <c r="Y208" s="156">
        <f t="shared" si="35"/>
        <v>11</v>
      </c>
      <c r="Z208" s="156">
        <f t="shared" si="35"/>
        <v>74</v>
      </c>
      <c r="AA208" s="156">
        <f t="shared" si="35"/>
        <v>19</v>
      </c>
      <c r="AB208" s="156">
        <f t="shared" si="35"/>
        <v>90</v>
      </c>
      <c r="AC208" s="156">
        <f t="shared" si="35"/>
        <v>0</v>
      </c>
      <c r="AD208" s="156">
        <f t="shared" si="35"/>
        <v>60</v>
      </c>
      <c r="AE208" s="156">
        <f t="shared" si="35"/>
        <v>6</v>
      </c>
      <c r="AF208" s="156">
        <f t="shared" si="35"/>
        <v>8</v>
      </c>
      <c r="AG208" s="156">
        <f t="shared" si="35"/>
        <v>577</v>
      </c>
      <c r="AH208" s="156">
        <f t="shared" si="35"/>
        <v>483</v>
      </c>
      <c r="AI208" s="156">
        <f t="shared" si="35"/>
        <v>150</v>
      </c>
      <c r="AJ208" s="156">
        <f t="shared" si="35"/>
        <v>88</v>
      </c>
      <c r="AK208" s="157">
        <f>SUM(AK205:AK207)</f>
        <v>5536</v>
      </c>
      <c r="AL208" s="159"/>
      <c r="AM208" s="159">
        <v>21</v>
      </c>
      <c r="AN208" s="159"/>
      <c r="AO208" s="159">
        <v>5</v>
      </c>
      <c r="AP208" s="159"/>
      <c r="AQ208" s="159"/>
      <c r="AR208" s="159"/>
      <c r="AS208" s="159"/>
      <c r="AT208" s="159"/>
      <c r="AU208" s="159"/>
      <c r="AV208" s="159"/>
      <c r="AW208" s="159"/>
      <c r="AX208" s="159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</row>
    <row r="209" spans="1:61" x14ac:dyDescent="0.2">
      <c r="A209" s="120" t="s">
        <v>69</v>
      </c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158"/>
      <c r="N209" s="158"/>
      <c r="O209" s="158"/>
      <c r="P209" s="158"/>
      <c r="Q209" s="158"/>
      <c r="R209" s="158"/>
      <c r="S209" s="158"/>
      <c r="T209" s="158"/>
      <c r="U209" s="158"/>
      <c r="V209" s="158"/>
      <c r="W209" s="158"/>
      <c r="X209" s="158"/>
      <c r="Y209" s="158"/>
      <c r="Z209" s="158"/>
      <c r="AA209" s="158"/>
      <c r="AB209" s="158"/>
      <c r="AC209" s="158"/>
      <c r="AD209" s="158"/>
      <c r="AE209" s="158"/>
      <c r="AF209" s="158"/>
      <c r="AG209" s="158"/>
      <c r="AH209" s="158"/>
      <c r="AI209" s="158"/>
      <c r="AJ209" s="158"/>
      <c r="AK209" s="46"/>
      <c r="AL209" s="31"/>
      <c r="AM209" s="31">
        <v>18</v>
      </c>
      <c r="AN209" s="31"/>
      <c r="AO209" s="31">
        <v>5</v>
      </c>
      <c r="AP209" s="31"/>
      <c r="AQ209" s="31"/>
      <c r="AR209" s="31"/>
      <c r="AS209" s="31"/>
      <c r="AT209" s="31"/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</row>
    <row r="210" spans="1:61" x14ac:dyDescent="0.2">
      <c r="A210" s="110" t="s">
        <v>92</v>
      </c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153"/>
      <c r="N210" s="153"/>
      <c r="O210" s="153"/>
      <c r="P210" s="153"/>
      <c r="Q210" s="153"/>
      <c r="R210" s="153"/>
      <c r="S210" s="153"/>
      <c r="T210" s="153"/>
      <c r="U210" s="153"/>
      <c r="V210" s="153"/>
      <c r="W210" s="153"/>
      <c r="X210" s="153"/>
      <c r="Y210" s="153"/>
      <c r="Z210" s="153"/>
      <c r="AA210" s="153"/>
      <c r="AB210" s="153"/>
      <c r="AC210" s="153"/>
      <c r="AD210" s="153"/>
      <c r="AE210" s="153"/>
      <c r="AF210" s="153"/>
      <c r="AG210" s="153"/>
      <c r="AH210" s="153"/>
      <c r="AI210" s="153"/>
      <c r="AJ210" s="153"/>
      <c r="AK210" s="46">
        <f>SUM(B210:AJ210)</f>
        <v>0</v>
      </c>
      <c r="AL210" s="31"/>
      <c r="AM210" s="31">
        <v>7</v>
      </c>
      <c r="AN210" s="31"/>
      <c r="AO210" s="31">
        <v>11</v>
      </c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</row>
    <row r="211" spans="1:61" x14ac:dyDescent="0.2">
      <c r="A211" s="110" t="s">
        <v>93</v>
      </c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153"/>
      <c r="N211" s="153"/>
      <c r="O211" s="153"/>
      <c r="P211" s="153"/>
      <c r="Q211" s="153"/>
      <c r="R211" s="153"/>
      <c r="S211" s="153"/>
      <c r="T211" s="153"/>
      <c r="U211" s="153"/>
      <c r="V211" s="153"/>
      <c r="W211" s="153"/>
      <c r="X211" s="153"/>
      <c r="Y211" s="153"/>
      <c r="Z211" s="153"/>
      <c r="AA211" s="153"/>
      <c r="AB211" s="153"/>
      <c r="AC211" s="153"/>
      <c r="AD211" s="153"/>
      <c r="AE211" s="153"/>
      <c r="AF211" s="153"/>
      <c r="AG211" s="153"/>
      <c r="AH211" s="153"/>
      <c r="AI211" s="153"/>
      <c r="AJ211" s="153"/>
      <c r="AK211" s="46">
        <f>SUM(B211:AJ211)</f>
        <v>0</v>
      </c>
      <c r="AL211" s="31"/>
      <c r="AM211" s="31">
        <v>13</v>
      </c>
      <c r="AN211" s="31"/>
      <c r="AO211" s="31">
        <v>1</v>
      </c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</row>
    <row r="212" spans="1:61" x14ac:dyDescent="0.2">
      <c r="A212" s="110" t="s">
        <v>1</v>
      </c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153"/>
      <c r="N212" s="153"/>
      <c r="O212" s="153"/>
      <c r="P212" s="153"/>
      <c r="Q212" s="153"/>
      <c r="R212" s="153"/>
      <c r="S212" s="153"/>
      <c r="T212" s="153"/>
      <c r="U212" s="153"/>
      <c r="V212" s="153"/>
      <c r="W212" s="153"/>
      <c r="X212" s="153"/>
      <c r="Y212" s="153"/>
      <c r="Z212" s="153"/>
      <c r="AA212" s="153"/>
      <c r="AB212" s="153"/>
      <c r="AC212" s="153"/>
      <c r="AD212" s="153"/>
      <c r="AE212" s="153"/>
      <c r="AF212" s="153"/>
      <c r="AG212" s="153"/>
      <c r="AH212" s="153"/>
      <c r="AI212" s="153"/>
      <c r="AJ212" s="153"/>
      <c r="AK212" s="46">
        <f>SUM(B212:AJ212)</f>
        <v>0</v>
      </c>
      <c r="AL212" s="31"/>
      <c r="AM212" s="31">
        <v>37</v>
      </c>
      <c r="AN212" s="31"/>
      <c r="AO212" s="31">
        <v>407</v>
      </c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</row>
    <row r="213" spans="1:61" ht="15.75" thickBot="1" x14ac:dyDescent="0.25">
      <c r="A213" s="154" t="s">
        <v>7</v>
      </c>
      <c r="B213" s="155">
        <f>SUM(B210:B212)</f>
        <v>0</v>
      </c>
      <c r="C213" s="155">
        <f t="shared" ref="C213:H213" si="36">SUM(C210:C212)</f>
        <v>0</v>
      </c>
      <c r="D213" s="155">
        <f t="shared" si="36"/>
        <v>0</v>
      </c>
      <c r="E213" s="155">
        <f t="shared" si="36"/>
        <v>0</v>
      </c>
      <c r="F213" s="155">
        <f t="shared" si="36"/>
        <v>0</v>
      </c>
      <c r="G213" s="155">
        <f t="shared" si="36"/>
        <v>0</v>
      </c>
      <c r="H213" s="155">
        <f t="shared" si="36"/>
        <v>0</v>
      </c>
      <c r="I213" s="156">
        <f>SUM(I210:I212)</f>
        <v>0</v>
      </c>
      <c r="J213" s="156">
        <f>SUM(J210:J212)</f>
        <v>0</v>
      </c>
      <c r="K213" s="156">
        <f>SUM(K210:K212)</f>
        <v>0</v>
      </c>
      <c r="L213" s="156">
        <f>SUM(L210:L212)</f>
        <v>0</v>
      </c>
      <c r="M213" s="156">
        <f t="shared" ref="M213:AK213" si="37">M210+M211+M212</f>
        <v>0</v>
      </c>
      <c r="N213" s="156">
        <f t="shared" si="37"/>
        <v>0</v>
      </c>
      <c r="O213" s="156">
        <f t="shared" si="37"/>
        <v>0</v>
      </c>
      <c r="P213" s="156">
        <f t="shared" si="37"/>
        <v>0</v>
      </c>
      <c r="Q213" s="156">
        <f t="shared" si="37"/>
        <v>0</v>
      </c>
      <c r="R213" s="156">
        <f t="shared" si="37"/>
        <v>0</v>
      </c>
      <c r="S213" s="156">
        <f t="shared" si="37"/>
        <v>0</v>
      </c>
      <c r="T213" s="156">
        <f t="shared" si="37"/>
        <v>0</v>
      </c>
      <c r="U213" s="156">
        <f t="shared" si="37"/>
        <v>0</v>
      </c>
      <c r="V213" s="156">
        <f t="shared" si="37"/>
        <v>0</v>
      </c>
      <c r="W213" s="156">
        <f t="shared" si="37"/>
        <v>0</v>
      </c>
      <c r="X213" s="156">
        <f t="shared" si="37"/>
        <v>0</v>
      </c>
      <c r="Y213" s="156">
        <f t="shared" si="37"/>
        <v>0</v>
      </c>
      <c r="Z213" s="156">
        <f t="shared" si="37"/>
        <v>0</v>
      </c>
      <c r="AA213" s="156">
        <f t="shared" si="37"/>
        <v>0</v>
      </c>
      <c r="AB213" s="156">
        <f t="shared" si="37"/>
        <v>0</v>
      </c>
      <c r="AC213" s="156">
        <f t="shared" si="37"/>
        <v>0</v>
      </c>
      <c r="AD213" s="156">
        <f t="shared" si="37"/>
        <v>0</v>
      </c>
      <c r="AE213" s="156">
        <f t="shared" si="37"/>
        <v>0</v>
      </c>
      <c r="AF213" s="156">
        <f t="shared" si="37"/>
        <v>0</v>
      </c>
      <c r="AG213" s="156">
        <f t="shared" si="37"/>
        <v>0</v>
      </c>
      <c r="AH213" s="156">
        <f t="shared" si="37"/>
        <v>0</v>
      </c>
      <c r="AI213" s="156">
        <f t="shared" si="37"/>
        <v>0</v>
      </c>
      <c r="AJ213" s="156">
        <f t="shared" si="37"/>
        <v>0</v>
      </c>
      <c r="AK213" s="157">
        <f t="shared" si="37"/>
        <v>0</v>
      </c>
      <c r="AL213" s="31"/>
      <c r="AM213" s="31">
        <v>13</v>
      </c>
      <c r="AN213" s="31"/>
      <c r="AO213" s="31">
        <v>330</v>
      </c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</row>
    <row r="214" spans="1:61" x14ac:dyDescent="0.2">
      <c r="A214" s="120" t="s">
        <v>70</v>
      </c>
      <c r="B214" s="151"/>
      <c r="C214" s="151"/>
      <c r="D214" s="151"/>
      <c r="E214" s="151"/>
      <c r="F214" s="151"/>
      <c r="G214" s="151"/>
      <c r="H214" s="151"/>
      <c r="I214" s="151"/>
      <c r="J214" s="151"/>
      <c r="K214" s="151"/>
      <c r="L214" s="151"/>
      <c r="M214" s="151"/>
      <c r="N214" s="151"/>
      <c r="O214" s="151"/>
      <c r="P214" s="151"/>
      <c r="Q214" s="151"/>
      <c r="R214" s="151"/>
      <c r="S214" s="151"/>
      <c r="T214" s="151"/>
      <c r="U214" s="151"/>
      <c r="V214" s="151"/>
      <c r="W214" s="151"/>
      <c r="X214" s="151"/>
      <c r="Y214" s="151"/>
      <c r="Z214" s="151"/>
      <c r="AA214" s="151"/>
      <c r="AB214" s="151"/>
      <c r="AC214" s="151"/>
      <c r="AD214" s="151"/>
      <c r="AE214" s="151"/>
      <c r="AF214" s="151"/>
      <c r="AG214" s="151"/>
      <c r="AH214" s="151"/>
      <c r="AI214" s="151"/>
      <c r="AJ214" s="151"/>
      <c r="AK214" s="46"/>
      <c r="AL214" s="31"/>
      <c r="AM214" s="31">
        <v>2</v>
      </c>
      <c r="AN214" s="31"/>
      <c r="AO214" s="31">
        <v>196</v>
      </c>
      <c r="AP214" s="31"/>
      <c r="AQ214" s="31"/>
      <c r="AR214" s="31"/>
      <c r="AS214" s="31"/>
      <c r="AT214" s="31"/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</row>
    <row r="215" spans="1:61" x14ac:dyDescent="0.2">
      <c r="A215" s="110" t="s">
        <v>92</v>
      </c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153"/>
      <c r="N215" s="153"/>
      <c r="O215" s="153"/>
      <c r="P215" s="153"/>
      <c r="Q215" s="153"/>
      <c r="R215" s="153"/>
      <c r="S215" s="153"/>
      <c r="T215" s="153"/>
      <c r="U215" s="153"/>
      <c r="V215" s="153"/>
      <c r="W215" s="153"/>
      <c r="X215" s="153"/>
      <c r="Y215" s="153"/>
      <c r="Z215" s="153"/>
      <c r="AA215" s="153"/>
      <c r="AB215" s="153"/>
      <c r="AC215" s="153"/>
      <c r="AD215" s="153"/>
      <c r="AE215" s="153"/>
      <c r="AF215" s="153"/>
      <c r="AG215" s="153"/>
      <c r="AH215" s="153"/>
      <c r="AI215" s="153"/>
      <c r="AJ215" s="153"/>
      <c r="AK215" s="46">
        <f>SUM(B215:AJ215)</f>
        <v>0</v>
      </c>
      <c r="AL215" s="31"/>
      <c r="AM215" s="31">
        <v>4</v>
      </c>
      <c r="AN215" s="31"/>
      <c r="AO215" s="31">
        <v>52</v>
      </c>
      <c r="AP215" s="31"/>
      <c r="AQ215" s="31"/>
      <c r="AR215" s="31"/>
      <c r="AS215" s="31"/>
      <c r="AT215" s="31"/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</row>
    <row r="216" spans="1:61" x14ac:dyDescent="0.2">
      <c r="A216" s="110" t="s">
        <v>93</v>
      </c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153"/>
      <c r="N216" s="153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  <c r="Z216" s="153"/>
      <c r="AA216" s="153"/>
      <c r="AB216" s="153"/>
      <c r="AC216" s="153"/>
      <c r="AD216" s="153"/>
      <c r="AE216" s="153"/>
      <c r="AF216" s="153"/>
      <c r="AG216" s="153"/>
      <c r="AH216" s="153"/>
      <c r="AI216" s="153"/>
      <c r="AJ216" s="153"/>
      <c r="AK216" s="46">
        <f>SUM(B216:AJ216)</f>
        <v>0</v>
      </c>
      <c r="AL216" s="31"/>
      <c r="AM216" s="31">
        <v>7</v>
      </c>
      <c r="AN216" s="31"/>
      <c r="AO216" s="31">
        <v>380</v>
      </c>
      <c r="AP216" s="31"/>
      <c r="AQ216" s="31"/>
      <c r="AR216" s="31"/>
      <c r="AS216" s="31"/>
      <c r="AT216" s="31"/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</row>
    <row r="217" spans="1:61" x14ac:dyDescent="0.2">
      <c r="A217" s="110" t="s">
        <v>1</v>
      </c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153"/>
      <c r="Q217" s="44"/>
      <c r="R217" s="44"/>
      <c r="S217" s="44"/>
      <c r="T217" s="44"/>
      <c r="U217" s="44"/>
      <c r="V217" s="153"/>
      <c r="W217" s="44"/>
      <c r="X217" s="44"/>
      <c r="Y217" s="153"/>
      <c r="Z217" s="153"/>
      <c r="AA217" s="153"/>
      <c r="AB217" s="44"/>
      <c r="AC217" s="44"/>
      <c r="AD217" s="44"/>
      <c r="AE217" s="44"/>
      <c r="AF217" s="153"/>
      <c r="AG217" s="153"/>
      <c r="AH217" s="153"/>
      <c r="AI217" s="153"/>
      <c r="AJ217" s="153"/>
      <c r="AK217" s="46">
        <f>SUM(B217:AJ217)</f>
        <v>0</v>
      </c>
      <c r="AL217" s="31"/>
      <c r="AM217" s="31">
        <v>4</v>
      </c>
      <c r="AN217" s="31"/>
      <c r="AO217" s="31">
        <v>563</v>
      </c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</row>
    <row r="218" spans="1:61" x14ac:dyDescent="0.2">
      <c r="A218" s="154" t="s">
        <v>7</v>
      </c>
      <c r="B218" s="155">
        <f t="shared" ref="B218:K218" si="38">B215+B216+B217</f>
        <v>0</v>
      </c>
      <c r="C218" s="155">
        <f t="shared" si="38"/>
        <v>0</v>
      </c>
      <c r="D218" s="155">
        <f t="shared" si="38"/>
        <v>0</v>
      </c>
      <c r="E218" s="155">
        <f t="shared" si="38"/>
        <v>0</v>
      </c>
      <c r="F218" s="155">
        <f t="shared" si="38"/>
        <v>0</v>
      </c>
      <c r="G218" s="155">
        <f t="shared" si="38"/>
        <v>0</v>
      </c>
      <c r="H218" s="155">
        <f t="shared" si="38"/>
        <v>0</v>
      </c>
      <c r="I218" s="156">
        <f t="shared" si="38"/>
        <v>0</v>
      </c>
      <c r="J218" s="156">
        <f t="shared" si="38"/>
        <v>0</v>
      </c>
      <c r="K218" s="156">
        <f t="shared" si="38"/>
        <v>0</v>
      </c>
      <c r="L218" s="155">
        <f t="shared" ref="L218:AJ218" si="39">L215+L216+L217</f>
        <v>0</v>
      </c>
      <c r="M218" s="156">
        <f t="shared" si="39"/>
        <v>0</v>
      </c>
      <c r="N218" s="156">
        <f t="shared" si="39"/>
        <v>0</v>
      </c>
      <c r="O218" s="156">
        <f t="shared" si="39"/>
        <v>0</v>
      </c>
      <c r="P218" s="156">
        <f t="shared" si="39"/>
        <v>0</v>
      </c>
      <c r="Q218" s="156">
        <f t="shared" si="39"/>
        <v>0</v>
      </c>
      <c r="R218" s="156">
        <f t="shared" si="39"/>
        <v>0</v>
      </c>
      <c r="S218" s="156">
        <f t="shared" si="39"/>
        <v>0</v>
      </c>
      <c r="T218" s="156">
        <f t="shared" si="39"/>
        <v>0</v>
      </c>
      <c r="U218" s="156">
        <f t="shared" si="39"/>
        <v>0</v>
      </c>
      <c r="V218" s="156">
        <f t="shared" si="39"/>
        <v>0</v>
      </c>
      <c r="W218" s="156">
        <f t="shared" si="39"/>
        <v>0</v>
      </c>
      <c r="X218" s="156">
        <f t="shared" si="39"/>
        <v>0</v>
      </c>
      <c r="Y218" s="156">
        <f t="shared" si="39"/>
        <v>0</v>
      </c>
      <c r="Z218" s="156">
        <f t="shared" si="39"/>
        <v>0</v>
      </c>
      <c r="AA218" s="156">
        <f t="shared" si="39"/>
        <v>0</v>
      </c>
      <c r="AB218" s="156">
        <f t="shared" si="39"/>
        <v>0</v>
      </c>
      <c r="AC218" s="156">
        <f t="shared" si="39"/>
        <v>0</v>
      </c>
      <c r="AD218" s="156">
        <f t="shared" si="39"/>
        <v>0</v>
      </c>
      <c r="AE218" s="156">
        <f t="shared" si="39"/>
        <v>0</v>
      </c>
      <c r="AF218" s="156">
        <f t="shared" si="39"/>
        <v>0</v>
      </c>
      <c r="AG218" s="156">
        <f t="shared" si="39"/>
        <v>0</v>
      </c>
      <c r="AH218" s="156">
        <f t="shared" si="39"/>
        <v>0</v>
      </c>
      <c r="AI218" s="156">
        <f t="shared" si="39"/>
        <v>0</v>
      </c>
      <c r="AJ218" s="156">
        <f t="shared" si="39"/>
        <v>0</v>
      </c>
      <c r="AK218" s="157">
        <f>AK215+AK216+AK217</f>
        <v>0</v>
      </c>
      <c r="AL218" s="31"/>
      <c r="AM218" s="31">
        <v>8</v>
      </c>
      <c r="AN218" s="31"/>
      <c r="AO218" s="31">
        <v>11</v>
      </c>
      <c r="AP218" s="31"/>
      <c r="AQ218" s="31"/>
      <c r="AR218" s="31"/>
      <c r="AS218" s="31"/>
      <c r="AT218" s="31"/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</row>
    <row r="219" spans="1:61" x14ac:dyDescent="0.2">
      <c r="A219" s="120" t="s">
        <v>71</v>
      </c>
      <c r="B219" s="45" t="s">
        <v>138</v>
      </c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158"/>
      <c r="N219" s="158"/>
      <c r="O219" s="158"/>
      <c r="P219" s="158"/>
      <c r="Q219" s="158"/>
      <c r="R219" s="158"/>
      <c r="S219" s="158"/>
      <c r="T219" s="158"/>
      <c r="U219" s="158"/>
      <c r="V219" s="158"/>
      <c r="W219" s="158"/>
      <c r="X219" s="158"/>
      <c r="Y219" s="158"/>
      <c r="Z219" s="158"/>
      <c r="AA219" s="158"/>
      <c r="AB219" s="158"/>
      <c r="AC219" s="158"/>
      <c r="AD219" s="158"/>
      <c r="AE219" s="158"/>
      <c r="AF219" s="158"/>
      <c r="AG219" s="158"/>
      <c r="AH219" s="158"/>
      <c r="AI219" s="158"/>
      <c r="AJ219" s="158"/>
      <c r="AK219" s="46"/>
      <c r="AL219" s="31"/>
      <c r="AM219" s="31">
        <v>46</v>
      </c>
      <c r="AN219" s="31"/>
      <c r="AO219" s="31">
        <v>43</v>
      </c>
      <c r="AP219" s="31"/>
      <c r="AQ219" s="31"/>
      <c r="AR219" s="31"/>
      <c r="AS219" s="31"/>
      <c r="AT219" s="31"/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</row>
    <row r="220" spans="1:61" x14ac:dyDescent="0.2">
      <c r="A220" s="110" t="s">
        <v>92</v>
      </c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153"/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  <c r="Y220" s="153"/>
      <c r="Z220" s="153"/>
      <c r="AA220" s="153"/>
      <c r="AB220" s="153"/>
      <c r="AC220" s="153"/>
      <c r="AD220" s="153"/>
      <c r="AE220" s="153"/>
      <c r="AF220" s="153"/>
      <c r="AG220" s="153"/>
      <c r="AH220" s="153"/>
      <c r="AI220" s="153"/>
      <c r="AJ220" s="153"/>
      <c r="AK220" s="46">
        <f>SUM(B220:AJ220)</f>
        <v>0</v>
      </c>
      <c r="AL220" s="31"/>
      <c r="AM220" s="31">
        <v>28</v>
      </c>
      <c r="AN220" s="31"/>
      <c r="AO220" s="31">
        <v>72</v>
      </c>
      <c r="AP220" s="31"/>
      <c r="AQ220" s="31"/>
      <c r="AR220" s="31"/>
      <c r="AS220" s="31"/>
      <c r="AT220" s="31"/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  <c r="BG220" s="31"/>
      <c r="BH220" s="31"/>
      <c r="BI220" s="31"/>
    </row>
    <row r="221" spans="1:61" x14ac:dyDescent="0.2">
      <c r="A221" s="110" t="s">
        <v>93</v>
      </c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153"/>
      <c r="N221" s="153"/>
      <c r="O221" s="153"/>
      <c r="P221" s="153"/>
      <c r="Q221" s="153"/>
      <c r="R221" s="153"/>
      <c r="S221" s="153"/>
      <c r="T221" s="153"/>
      <c r="U221" s="153"/>
      <c r="V221" s="153"/>
      <c r="W221" s="153"/>
      <c r="X221" s="153"/>
      <c r="Y221" s="153"/>
      <c r="Z221" s="153"/>
      <c r="AA221" s="153"/>
      <c r="AB221" s="153"/>
      <c r="AC221" s="153"/>
      <c r="AD221" s="153"/>
      <c r="AE221" s="153"/>
      <c r="AF221" s="153"/>
      <c r="AG221" s="153"/>
      <c r="AH221" s="153"/>
      <c r="AI221" s="153"/>
      <c r="AJ221" s="153"/>
      <c r="AK221" s="46">
        <f>SUM(B221:AJ221)</f>
        <v>0</v>
      </c>
      <c r="AL221" s="31"/>
      <c r="AM221" s="31">
        <v>93</v>
      </c>
      <c r="AN221" s="31"/>
      <c r="AO221" s="31">
        <v>15</v>
      </c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</row>
    <row r="222" spans="1:61" x14ac:dyDescent="0.2">
      <c r="A222" s="110" t="s">
        <v>1</v>
      </c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153"/>
      <c r="N222" s="153"/>
      <c r="O222" s="153"/>
      <c r="P222" s="153"/>
      <c r="Q222" s="153"/>
      <c r="R222" s="153"/>
      <c r="S222" s="153"/>
      <c r="T222" s="153"/>
      <c r="U222" s="153"/>
      <c r="V222" s="153"/>
      <c r="W222" s="153"/>
      <c r="X222" s="153"/>
      <c r="Y222" s="153"/>
      <c r="Z222" s="153"/>
      <c r="AA222" s="153"/>
      <c r="AB222" s="153"/>
      <c r="AC222" s="153"/>
      <c r="AD222" s="153"/>
      <c r="AE222" s="153"/>
      <c r="AF222" s="153"/>
      <c r="AG222" s="153"/>
      <c r="AH222" s="153"/>
      <c r="AI222" s="153"/>
      <c r="AJ222" s="153"/>
      <c r="AK222" s="46">
        <f>SUM(B222:AJ222)</f>
        <v>0</v>
      </c>
      <c r="AL222" s="31"/>
      <c r="AM222" s="31">
        <v>7</v>
      </c>
      <c r="AN222" s="31"/>
      <c r="AO222" s="31">
        <v>105</v>
      </c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</row>
    <row r="223" spans="1:61" x14ac:dyDescent="0.2">
      <c r="A223" s="154" t="s">
        <v>7</v>
      </c>
      <c r="B223" s="155">
        <f t="shared" ref="B223:AK223" si="40">B220+B221+B222</f>
        <v>0</v>
      </c>
      <c r="C223" s="155">
        <f t="shared" si="40"/>
        <v>0</v>
      </c>
      <c r="D223" s="155">
        <f t="shared" si="40"/>
        <v>0</v>
      </c>
      <c r="E223" s="155">
        <f t="shared" si="40"/>
        <v>0</v>
      </c>
      <c r="F223" s="155">
        <f t="shared" si="40"/>
        <v>0</v>
      </c>
      <c r="G223" s="155">
        <f t="shared" si="40"/>
        <v>0</v>
      </c>
      <c r="H223" s="155">
        <f t="shared" si="40"/>
        <v>0</v>
      </c>
      <c r="I223" s="155">
        <f t="shared" si="40"/>
        <v>0</v>
      </c>
      <c r="J223" s="155">
        <f t="shared" si="40"/>
        <v>0</v>
      </c>
      <c r="K223" s="156">
        <f t="shared" si="40"/>
        <v>0</v>
      </c>
      <c r="L223" s="155">
        <f t="shared" si="40"/>
        <v>0</v>
      </c>
      <c r="M223" s="156">
        <f t="shared" si="40"/>
        <v>0</v>
      </c>
      <c r="N223" s="156">
        <f t="shared" si="40"/>
        <v>0</v>
      </c>
      <c r="O223" s="156">
        <f t="shared" si="40"/>
        <v>0</v>
      </c>
      <c r="P223" s="156">
        <f t="shared" si="40"/>
        <v>0</v>
      </c>
      <c r="Q223" s="156">
        <f t="shared" si="40"/>
        <v>0</v>
      </c>
      <c r="R223" s="156">
        <f t="shared" si="40"/>
        <v>0</v>
      </c>
      <c r="S223" s="156">
        <f t="shared" si="40"/>
        <v>0</v>
      </c>
      <c r="T223" s="156">
        <f t="shared" si="40"/>
        <v>0</v>
      </c>
      <c r="U223" s="156">
        <f t="shared" si="40"/>
        <v>0</v>
      </c>
      <c r="V223" s="156">
        <f t="shared" si="40"/>
        <v>0</v>
      </c>
      <c r="W223" s="156">
        <f t="shared" si="40"/>
        <v>0</v>
      </c>
      <c r="X223" s="156">
        <f t="shared" si="40"/>
        <v>0</v>
      </c>
      <c r="Y223" s="156">
        <f t="shared" si="40"/>
        <v>0</v>
      </c>
      <c r="Z223" s="156">
        <f t="shared" si="40"/>
        <v>0</v>
      </c>
      <c r="AA223" s="156">
        <f t="shared" si="40"/>
        <v>0</v>
      </c>
      <c r="AB223" s="156">
        <f t="shared" si="40"/>
        <v>0</v>
      </c>
      <c r="AC223" s="156">
        <f t="shared" si="40"/>
        <v>0</v>
      </c>
      <c r="AD223" s="156">
        <f t="shared" si="40"/>
        <v>0</v>
      </c>
      <c r="AE223" s="156">
        <f t="shared" si="40"/>
        <v>0</v>
      </c>
      <c r="AF223" s="156">
        <f t="shared" si="40"/>
        <v>0</v>
      </c>
      <c r="AG223" s="156">
        <f t="shared" si="40"/>
        <v>0</v>
      </c>
      <c r="AH223" s="156">
        <f t="shared" si="40"/>
        <v>0</v>
      </c>
      <c r="AI223" s="156">
        <f t="shared" si="40"/>
        <v>0</v>
      </c>
      <c r="AJ223" s="156">
        <f t="shared" si="40"/>
        <v>0</v>
      </c>
      <c r="AK223" s="157">
        <f t="shared" si="40"/>
        <v>0</v>
      </c>
      <c r="AL223" s="31"/>
      <c r="AM223" s="31">
        <v>1</v>
      </c>
      <c r="AN223" s="31"/>
      <c r="AO223" s="31">
        <v>95</v>
      </c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</row>
    <row r="224" spans="1:61" x14ac:dyDescent="0.2">
      <c r="A224" s="120" t="s">
        <v>72</v>
      </c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158"/>
      <c r="N224" s="158"/>
      <c r="O224" s="158"/>
      <c r="P224" s="158"/>
      <c r="Q224" s="158"/>
      <c r="R224" s="158"/>
      <c r="S224" s="158"/>
      <c r="T224" s="158"/>
      <c r="U224" s="158"/>
      <c r="V224" s="158"/>
      <c r="W224" s="158"/>
      <c r="X224" s="158"/>
      <c r="Y224" s="158"/>
      <c r="Z224" s="158"/>
      <c r="AA224" s="158"/>
      <c r="AB224" s="158"/>
      <c r="AC224" s="158"/>
      <c r="AD224" s="158"/>
      <c r="AE224" s="158"/>
      <c r="AF224" s="158"/>
      <c r="AG224" s="158"/>
      <c r="AH224" s="158"/>
      <c r="AI224" s="158"/>
      <c r="AJ224" s="158"/>
      <c r="AK224" s="46"/>
      <c r="AL224" s="31"/>
      <c r="AM224" s="31">
        <v>10</v>
      </c>
      <c r="AN224" s="31"/>
      <c r="AO224" s="31">
        <v>3</v>
      </c>
      <c r="AP224" s="31"/>
      <c r="AQ224" s="31"/>
      <c r="AR224" s="31"/>
      <c r="AS224" s="31"/>
      <c r="AT224" s="31"/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  <c r="BG224" s="31"/>
      <c r="BH224" s="31"/>
      <c r="BI224" s="31"/>
    </row>
    <row r="225" spans="1:61" x14ac:dyDescent="0.2">
      <c r="A225" s="110" t="s">
        <v>92</v>
      </c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153"/>
      <c r="N225" s="153"/>
      <c r="O225" s="153"/>
      <c r="P225" s="153"/>
      <c r="Q225" s="153"/>
      <c r="R225" s="153"/>
      <c r="S225" s="153"/>
      <c r="T225" s="153"/>
      <c r="U225" s="153"/>
      <c r="V225" s="153"/>
      <c r="W225" s="153"/>
      <c r="X225" s="153"/>
      <c r="Y225" s="153"/>
      <c r="Z225" s="153"/>
      <c r="AA225" s="153"/>
      <c r="AB225" s="153"/>
      <c r="AC225" s="153"/>
      <c r="AD225" s="153"/>
      <c r="AE225" s="153"/>
      <c r="AF225" s="153"/>
      <c r="AG225" s="153"/>
      <c r="AH225" s="153"/>
      <c r="AI225" s="153"/>
      <c r="AJ225" s="153"/>
      <c r="AK225" s="46">
        <f>SUM(B225:AJ225)</f>
        <v>0</v>
      </c>
      <c r="AL225" s="31"/>
      <c r="AM225" s="31">
        <v>2</v>
      </c>
      <c r="AN225" s="31"/>
      <c r="AO225" s="31">
        <v>159</v>
      </c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</row>
    <row r="226" spans="1:61" x14ac:dyDescent="0.2">
      <c r="A226" s="110" t="s">
        <v>93</v>
      </c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153"/>
      <c r="N226" s="153"/>
      <c r="O226" s="153"/>
      <c r="P226" s="153"/>
      <c r="Q226" s="153"/>
      <c r="R226" s="153"/>
      <c r="S226" s="153"/>
      <c r="T226" s="153"/>
      <c r="U226" s="153"/>
      <c r="V226" s="153"/>
      <c r="W226" s="153"/>
      <c r="X226" s="153"/>
      <c r="Y226" s="153"/>
      <c r="Z226" s="153"/>
      <c r="AA226" s="153"/>
      <c r="AB226" s="153"/>
      <c r="AC226" s="153"/>
      <c r="AD226" s="153"/>
      <c r="AE226" s="153"/>
      <c r="AF226" s="153"/>
      <c r="AG226" s="153"/>
      <c r="AH226" s="153"/>
      <c r="AI226" s="153"/>
      <c r="AJ226" s="153"/>
      <c r="AK226" s="46">
        <f>SUM(B226:AJ226)</f>
        <v>0</v>
      </c>
      <c r="AL226" s="31"/>
      <c r="AM226" s="31">
        <v>33</v>
      </c>
      <c r="AN226" s="31"/>
      <c r="AO226" s="31">
        <v>45</v>
      </c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</row>
    <row r="227" spans="1:61" x14ac:dyDescent="0.2">
      <c r="A227" s="110" t="s">
        <v>1</v>
      </c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6">
        <f>SUM(B227:AJ227)</f>
        <v>0</v>
      </c>
      <c r="AL227" s="31"/>
      <c r="AM227" s="31">
        <v>783</v>
      </c>
      <c r="AN227" s="31"/>
      <c r="AO227" s="31">
        <v>87</v>
      </c>
      <c r="AP227" s="31"/>
      <c r="AQ227" s="31"/>
      <c r="AR227" s="31"/>
      <c r="AS227" s="31"/>
      <c r="AT227" s="31"/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</row>
    <row r="228" spans="1:61" x14ac:dyDescent="0.2">
      <c r="A228" s="154" t="s">
        <v>7</v>
      </c>
      <c r="B228" s="155">
        <f t="shared" ref="B228:L228" si="41">SUM(B225:B227)</f>
        <v>0</v>
      </c>
      <c r="C228" s="155">
        <f t="shared" si="41"/>
        <v>0</v>
      </c>
      <c r="D228" s="155">
        <f t="shared" si="41"/>
        <v>0</v>
      </c>
      <c r="E228" s="155">
        <f t="shared" si="41"/>
        <v>0</v>
      </c>
      <c r="F228" s="155">
        <f t="shared" si="41"/>
        <v>0</v>
      </c>
      <c r="G228" s="155">
        <f t="shared" si="41"/>
        <v>0</v>
      </c>
      <c r="H228" s="155">
        <f t="shared" si="41"/>
        <v>0</v>
      </c>
      <c r="I228" s="156">
        <f t="shared" si="41"/>
        <v>0</v>
      </c>
      <c r="J228" s="156">
        <f t="shared" si="41"/>
        <v>0</v>
      </c>
      <c r="K228" s="156">
        <f t="shared" si="41"/>
        <v>0</v>
      </c>
      <c r="L228" s="156">
        <f t="shared" si="41"/>
        <v>0</v>
      </c>
      <c r="M228" s="156">
        <f t="shared" ref="M228:AJ228" si="42">M225+M226+M227</f>
        <v>0</v>
      </c>
      <c r="N228" s="156">
        <f t="shared" si="42"/>
        <v>0</v>
      </c>
      <c r="O228" s="156">
        <f t="shared" si="42"/>
        <v>0</v>
      </c>
      <c r="P228" s="156">
        <f t="shared" si="42"/>
        <v>0</v>
      </c>
      <c r="Q228" s="156">
        <f t="shared" si="42"/>
        <v>0</v>
      </c>
      <c r="R228" s="156">
        <f t="shared" si="42"/>
        <v>0</v>
      </c>
      <c r="S228" s="156">
        <f t="shared" si="42"/>
        <v>0</v>
      </c>
      <c r="T228" s="156">
        <f t="shared" si="42"/>
        <v>0</v>
      </c>
      <c r="U228" s="156">
        <f t="shared" si="42"/>
        <v>0</v>
      </c>
      <c r="V228" s="156">
        <f t="shared" si="42"/>
        <v>0</v>
      </c>
      <c r="W228" s="156">
        <f t="shared" si="42"/>
        <v>0</v>
      </c>
      <c r="X228" s="156">
        <f t="shared" si="42"/>
        <v>0</v>
      </c>
      <c r="Y228" s="156">
        <f t="shared" si="42"/>
        <v>0</v>
      </c>
      <c r="Z228" s="156">
        <f t="shared" si="42"/>
        <v>0</v>
      </c>
      <c r="AA228" s="156">
        <f t="shared" si="42"/>
        <v>0</v>
      </c>
      <c r="AB228" s="156">
        <f t="shared" si="42"/>
        <v>0</v>
      </c>
      <c r="AC228" s="156">
        <f t="shared" si="42"/>
        <v>0</v>
      </c>
      <c r="AD228" s="156">
        <f t="shared" si="42"/>
        <v>0</v>
      </c>
      <c r="AE228" s="156">
        <f t="shared" si="42"/>
        <v>0</v>
      </c>
      <c r="AF228" s="156">
        <f t="shared" si="42"/>
        <v>0</v>
      </c>
      <c r="AG228" s="156">
        <f t="shared" si="42"/>
        <v>0</v>
      </c>
      <c r="AH228" s="156">
        <f t="shared" si="42"/>
        <v>0</v>
      </c>
      <c r="AI228" s="156">
        <f t="shared" si="42"/>
        <v>0</v>
      </c>
      <c r="AJ228" s="156">
        <f t="shared" si="42"/>
        <v>0</v>
      </c>
      <c r="AK228" s="157">
        <f>AK226+AK225+AK227</f>
        <v>0</v>
      </c>
      <c r="AL228" s="31"/>
      <c r="AM228" s="31">
        <f>SUM(AM204:AM227)</f>
        <v>1158</v>
      </c>
      <c r="AN228" s="31">
        <f>1158-1149</f>
        <v>9</v>
      </c>
      <c r="AO228" s="31">
        <v>70</v>
      </c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</row>
    <row r="229" spans="1:61" x14ac:dyDescent="0.2">
      <c r="A229" s="120" t="s">
        <v>100</v>
      </c>
      <c r="B229" s="158"/>
      <c r="C229" s="158"/>
      <c r="D229" s="158"/>
      <c r="E229" s="158"/>
      <c r="F229" s="158"/>
      <c r="G229" s="158"/>
      <c r="H229" s="158"/>
      <c r="I229" s="158"/>
      <c r="J229" s="158"/>
      <c r="K229" s="158"/>
      <c r="L229" s="158"/>
      <c r="M229" s="158"/>
      <c r="N229" s="158"/>
      <c r="O229" s="158"/>
      <c r="P229" s="158"/>
      <c r="Q229" s="158"/>
      <c r="R229" s="158"/>
      <c r="S229" s="158"/>
      <c r="T229" s="158"/>
      <c r="U229" s="158"/>
      <c r="V229" s="158"/>
      <c r="W229" s="158"/>
      <c r="X229" s="158"/>
      <c r="Y229" s="158"/>
      <c r="Z229" s="158"/>
      <c r="AA229" s="158"/>
      <c r="AB229" s="158"/>
      <c r="AC229" s="158"/>
      <c r="AD229" s="158"/>
      <c r="AE229" s="158"/>
      <c r="AF229" s="158"/>
      <c r="AG229" s="158"/>
      <c r="AH229" s="158"/>
      <c r="AI229" s="158"/>
      <c r="AJ229" s="158"/>
      <c r="AK229" s="46"/>
      <c r="AL229" s="31"/>
      <c r="AM229" s="31"/>
      <c r="AN229" s="31"/>
      <c r="AO229" s="31">
        <v>864</v>
      </c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</row>
    <row r="230" spans="1:61" x14ac:dyDescent="0.2">
      <c r="A230" s="110" t="s">
        <v>92</v>
      </c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153"/>
      <c r="N230" s="153"/>
      <c r="O230" s="153"/>
      <c r="P230" s="153"/>
      <c r="Q230" s="153"/>
      <c r="R230" s="153"/>
      <c r="S230" s="153"/>
      <c r="T230" s="153"/>
      <c r="U230" s="153"/>
      <c r="V230" s="153"/>
      <c r="W230" s="153"/>
      <c r="X230" s="153"/>
      <c r="Y230" s="153"/>
      <c r="Z230" s="153"/>
      <c r="AA230" s="153"/>
      <c r="AB230" s="153"/>
      <c r="AC230" s="153"/>
      <c r="AD230" s="153"/>
      <c r="AE230" s="153"/>
      <c r="AF230" s="153"/>
      <c r="AG230" s="153"/>
      <c r="AH230" s="153"/>
      <c r="AI230" s="153"/>
      <c r="AJ230" s="153"/>
      <c r="AK230" s="46">
        <f>SUM(B230:AJ230)</f>
        <v>0</v>
      </c>
      <c r="AL230" s="31"/>
      <c r="AM230" s="31"/>
      <c r="AN230" s="31"/>
      <c r="AO230" s="31">
        <v>639</v>
      </c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</row>
    <row r="231" spans="1:61" x14ac:dyDescent="0.2">
      <c r="A231" s="110" t="s">
        <v>93</v>
      </c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153"/>
      <c r="N231" s="44"/>
      <c r="O231" s="44"/>
      <c r="P231" s="153"/>
      <c r="Q231" s="44"/>
      <c r="R231" s="44"/>
      <c r="S231" s="44"/>
      <c r="T231" s="153"/>
      <c r="U231" s="44"/>
      <c r="V231" s="153"/>
      <c r="W231" s="153"/>
      <c r="X231" s="153"/>
      <c r="Y231" s="44"/>
      <c r="Z231" s="153"/>
      <c r="AA231" s="153"/>
      <c r="AB231" s="153"/>
      <c r="AC231" s="44"/>
      <c r="AD231" s="153"/>
      <c r="AE231" s="153"/>
      <c r="AF231" s="153"/>
      <c r="AG231" s="153"/>
      <c r="AH231" s="153"/>
      <c r="AI231" s="153"/>
      <c r="AJ231" s="153"/>
      <c r="AK231" s="46">
        <f>SUM(B231:AJ231)</f>
        <v>0</v>
      </c>
      <c r="AL231" s="31"/>
      <c r="AM231" s="31"/>
      <c r="AN231" s="31"/>
      <c r="AO231" s="31">
        <v>40</v>
      </c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</row>
    <row r="232" spans="1:61" x14ac:dyDescent="0.2">
      <c r="A232" s="110" t="s">
        <v>1</v>
      </c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153"/>
      <c r="N232" s="153"/>
      <c r="O232" s="153"/>
      <c r="P232" s="153"/>
      <c r="Q232" s="153"/>
      <c r="R232" s="153"/>
      <c r="S232" s="153"/>
      <c r="T232" s="153"/>
      <c r="U232" s="153"/>
      <c r="V232" s="153"/>
      <c r="W232" s="153"/>
      <c r="X232" s="153"/>
      <c r="Y232" s="153"/>
      <c r="Z232" s="153"/>
      <c r="AA232" s="153"/>
      <c r="AB232" s="153"/>
      <c r="AC232" s="153"/>
      <c r="AD232" s="153"/>
      <c r="AE232" s="153"/>
      <c r="AF232" s="153"/>
      <c r="AG232" s="153"/>
      <c r="AH232" s="153"/>
      <c r="AI232" s="153"/>
      <c r="AJ232" s="153"/>
      <c r="AK232" s="46">
        <f>SUM(B232:AJ232)</f>
        <v>0</v>
      </c>
      <c r="AL232" s="31"/>
      <c r="AM232" s="31"/>
      <c r="AN232" s="31"/>
      <c r="AO232" s="31">
        <v>34</v>
      </c>
      <c r="AP232" s="31"/>
      <c r="AQ232" s="31"/>
      <c r="AR232" s="31"/>
      <c r="AS232" s="31"/>
      <c r="AT232" s="31"/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  <c r="BG232" s="31"/>
      <c r="BH232" s="31"/>
      <c r="BI232" s="31"/>
    </row>
    <row r="233" spans="1:61" x14ac:dyDescent="0.2">
      <c r="A233" s="154" t="s">
        <v>7</v>
      </c>
      <c r="B233" s="155">
        <f t="shared" ref="B233:K233" si="43">SUM(B230:B232)</f>
        <v>0</v>
      </c>
      <c r="C233" s="155">
        <f t="shared" si="43"/>
        <v>0</v>
      </c>
      <c r="D233" s="155">
        <f t="shared" si="43"/>
        <v>0</v>
      </c>
      <c r="E233" s="155">
        <f t="shared" si="43"/>
        <v>0</v>
      </c>
      <c r="F233" s="155">
        <f t="shared" si="43"/>
        <v>0</v>
      </c>
      <c r="G233" s="155">
        <f t="shared" si="43"/>
        <v>0</v>
      </c>
      <c r="H233" s="155">
        <f t="shared" si="43"/>
        <v>0</v>
      </c>
      <c r="I233" s="155">
        <f t="shared" si="43"/>
        <v>0</v>
      </c>
      <c r="J233" s="155">
        <f t="shared" si="43"/>
        <v>0</v>
      </c>
      <c r="K233" s="156">
        <f t="shared" si="43"/>
        <v>0</v>
      </c>
      <c r="L233" s="155">
        <f t="shared" ref="L233:AJ233" si="44">SUM(L230:L232)</f>
        <v>0</v>
      </c>
      <c r="M233" s="156">
        <f t="shared" si="44"/>
        <v>0</v>
      </c>
      <c r="N233" s="156">
        <f t="shared" si="44"/>
        <v>0</v>
      </c>
      <c r="O233" s="156">
        <f t="shared" si="44"/>
        <v>0</v>
      </c>
      <c r="P233" s="156">
        <f t="shared" si="44"/>
        <v>0</v>
      </c>
      <c r="Q233" s="156">
        <f t="shared" si="44"/>
        <v>0</v>
      </c>
      <c r="R233" s="156">
        <f t="shared" si="44"/>
        <v>0</v>
      </c>
      <c r="S233" s="156">
        <f t="shared" si="44"/>
        <v>0</v>
      </c>
      <c r="T233" s="156">
        <f t="shared" si="44"/>
        <v>0</v>
      </c>
      <c r="U233" s="156">
        <f t="shared" si="44"/>
        <v>0</v>
      </c>
      <c r="V233" s="156">
        <f t="shared" si="44"/>
        <v>0</v>
      </c>
      <c r="W233" s="156">
        <f t="shared" si="44"/>
        <v>0</v>
      </c>
      <c r="X233" s="156">
        <f t="shared" si="44"/>
        <v>0</v>
      </c>
      <c r="Y233" s="156">
        <f t="shared" si="44"/>
        <v>0</v>
      </c>
      <c r="Z233" s="156">
        <f t="shared" si="44"/>
        <v>0</v>
      </c>
      <c r="AA233" s="156">
        <f t="shared" si="44"/>
        <v>0</v>
      </c>
      <c r="AB233" s="156">
        <f t="shared" si="44"/>
        <v>0</v>
      </c>
      <c r="AC233" s="156">
        <f t="shared" si="44"/>
        <v>0</v>
      </c>
      <c r="AD233" s="156">
        <f t="shared" si="44"/>
        <v>0</v>
      </c>
      <c r="AE233" s="156">
        <f t="shared" si="44"/>
        <v>0</v>
      </c>
      <c r="AF233" s="156">
        <f t="shared" si="44"/>
        <v>0</v>
      </c>
      <c r="AG233" s="156">
        <f t="shared" si="44"/>
        <v>0</v>
      </c>
      <c r="AH233" s="156">
        <f t="shared" si="44"/>
        <v>0</v>
      </c>
      <c r="AI233" s="156">
        <f t="shared" si="44"/>
        <v>0</v>
      </c>
      <c r="AJ233" s="156">
        <f t="shared" si="44"/>
        <v>0</v>
      </c>
      <c r="AK233" s="157">
        <f>SUM(AK230:AK232)</f>
        <v>0</v>
      </c>
      <c r="AL233" s="31"/>
      <c r="AM233" s="31"/>
      <c r="AN233" s="31"/>
      <c r="AO233" s="31">
        <v>98</v>
      </c>
      <c r="AP233" s="31"/>
      <c r="AQ233" s="31"/>
      <c r="AR233" s="31"/>
      <c r="AS233" s="31"/>
      <c r="AT233" s="31"/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  <c r="BG233" s="31"/>
      <c r="BH233" s="31"/>
      <c r="BI233" s="31"/>
    </row>
    <row r="234" spans="1:61" x14ac:dyDescent="0.2">
      <c r="A234" s="120" t="s">
        <v>74</v>
      </c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158"/>
      <c r="N234" s="158"/>
      <c r="O234" s="158"/>
      <c r="P234" s="158"/>
      <c r="Q234" s="158"/>
      <c r="R234" s="158"/>
      <c r="S234" s="158"/>
      <c r="T234" s="158"/>
      <c r="U234" s="158"/>
      <c r="V234" s="158"/>
      <c r="W234" s="158"/>
      <c r="X234" s="158"/>
      <c r="Y234" s="158"/>
      <c r="Z234" s="158"/>
      <c r="AA234" s="158"/>
      <c r="AB234" s="158"/>
      <c r="AC234" s="158"/>
      <c r="AD234" s="158"/>
      <c r="AE234" s="158"/>
      <c r="AF234" s="158"/>
      <c r="AG234" s="158"/>
      <c r="AH234" s="158"/>
      <c r="AI234" s="158"/>
      <c r="AJ234" s="158"/>
      <c r="AK234" s="46"/>
      <c r="AL234" s="31"/>
      <c r="AM234" s="31"/>
      <c r="AN234" s="31"/>
      <c r="AO234" s="31">
        <v>462</v>
      </c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</row>
    <row r="235" spans="1:61" x14ac:dyDescent="0.2">
      <c r="A235" s="110" t="s">
        <v>92</v>
      </c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153"/>
      <c r="N235" s="153"/>
      <c r="O235" s="153"/>
      <c r="P235" s="153"/>
      <c r="Q235" s="153"/>
      <c r="R235" s="153"/>
      <c r="S235" s="153"/>
      <c r="T235" s="153"/>
      <c r="U235" s="153"/>
      <c r="V235" s="153"/>
      <c r="W235" s="153"/>
      <c r="X235" s="153"/>
      <c r="Y235" s="153"/>
      <c r="Z235" s="153"/>
      <c r="AA235" s="153"/>
      <c r="AB235" s="153"/>
      <c r="AC235" s="153"/>
      <c r="AD235" s="153"/>
      <c r="AE235" s="153"/>
      <c r="AF235" s="153"/>
      <c r="AG235" s="153"/>
      <c r="AH235" s="153"/>
      <c r="AI235" s="153"/>
      <c r="AJ235" s="153"/>
      <c r="AK235" s="46">
        <f>SUM(B235:AJ235)</f>
        <v>0</v>
      </c>
      <c r="AL235" s="31"/>
      <c r="AM235" s="31"/>
      <c r="AN235" s="31"/>
      <c r="AO235" s="31">
        <v>8544</v>
      </c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</row>
    <row r="236" spans="1:61" x14ac:dyDescent="0.2">
      <c r="A236" s="110" t="s">
        <v>93</v>
      </c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6">
        <f>SUM(B236:AJ236)</f>
        <v>0</v>
      </c>
      <c r="AL236" s="31"/>
      <c r="AM236" s="31"/>
      <c r="AN236" s="31"/>
      <c r="AO236" s="31">
        <f>SUM(AO204:AO235)</f>
        <v>13478</v>
      </c>
      <c r="AP236" s="31"/>
      <c r="AQ236" s="31"/>
      <c r="AR236" s="31"/>
      <c r="AS236" s="31"/>
      <c r="AT236" s="31"/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  <c r="BG236" s="31"/>
      <c r="BH236" s="31"/>
      <c r="BI236" s="31"/>
    </row>
    <row r="237" spans="1:61" x14ac:dyDescent="0.2">
      <c r="A237" s="110" t="s">
        <v>1</v>
      </c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153"/>
      <c r="N237" s="153"/>
      <c r="O237" s="153"/>
      <c r="P237" s="153"/>
      <c r="Q237" s="153"/>
      <c r="R237" s="153"/>
      <c r="S237" s="153"/>
      <c r="T237" s="153"/>
      <c r="U237" s="153"/>
      <c r="V237" s="153"/>
      <c r="W237" s="153"/>
      <c r="X237" s="153"/>
      <c r="Y237" s="153"/>
      <c r="Z237" s="153"/>
      <c r="AA237" s="153"/>
      <c r="AB237" s="153"/>
      <c r="AC237" s="153"/>
      <c r="AD237" s="153"/>
      <c r="AE237" s="153"/>
      <c r="AF237" s="153"/>
      <c r="AG237" s="153"/>
      <c r="AH237" s="153"/>
      <c r="AI237" s="153"/>
      <c r="AJ237" s="153"/>
      <c r="AK237" s="46">
        <f>SUM(B237:AJ237)</f>
        <v>0</v>
      </c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  <c r="BG237" s="31"/>
      <c r="BH237" s="31"/>
      <c r="BI237" s="31"/>
    </row>
    <row r="238" spans="1:61" x14ac:dyDescent="0.2">
      <c r="A238" s="154" t="s">
        <v>7</v>
      </c>
      <c r="B238" s="155">
        <f>SUM(B235:B237)</f>
        <v>0</v>
      </c>
      <c r="C238" s="155">
        <f t="shared" ref="C238:H238" si="45">SUM(C235:C237)</f>
        <v>0</v>
      </c>
      <c r="D238" s="155">
        <f t="shared" si="45"/>
        <v>0</v>
      </c>
      <c r="E238" s="155">
        <f t="shared" si="45"/>
        <v>0</v>
      </c>
      <c r="F238" s="155">
        <f t="shared" si="45"/>
        <v>0</v>
      </c>
      <c r="G238" s="155">
        <f t="shared" si="45"/>
        <v>0</v>
      </c>
      <c r="H238" s="155">
        <f t="shared" si="45"/>
        <v>0</v>
      </c>
      <c r="I238" s="156">
        <f>SUM(I235:I237)</f>
        <v>0</v>
      </c>
      <c r="J238" s="156">
        <f>SUM(J235:J237)</f>
        <v>0</v>
      </c>
      <c r="K238" s="156">
        <f>SUM(K235:K237)</f>
        <v>0</v>
      </c>
      <c r="L238" s="156">
        <f>SUM(L235:L237)</f>
        <v>0</v>
      </c>
      <c r="M238" s="156">
        <f t="shared" ref="M238:AJ238" si="46">M235+M236+M237</f>
        <v>0</v>
      </c>
      <c r="N238" s="156">
        <f t="shared" si="46"/>
        <v>0</v>
      </c>
      <c r="O238" s="156">
        <f t="shared" si="46"/>
        <v>0</v>
      </c>
      <c r="P238" s="156">
        <f t="shared" si="46"/>
        <v>0</v>
      </c>
      <c r="Q238" s="156">
        <f t="shared" si="46"/>
        <v>0</v>
      </c>
      <c r="R238" s="156">
        <f t="shared" si="46"/>
        <v>0</v>
      </c>
      <c r="S238" s="156">
        <f t="shared" si="46"/>
        <v>0</v>
      </c>
      <c r="T238" s="156">
        <f t="shared" si="46"/>
        <v>0</v>
      </c>
      <c r="U238" s="156">
        <f t="shared" si="46"/>
        <v>0</v>
      </c>
      <c r="V238" s="156">
        <f t="shared" si="46"/>
        <v>0</v>
      </c>
      <c r="W238" s="156">
        <f t="shared" si="46"/>
        <v>0</v>
      </c>
      <c r="X238" s="156">
        <f t="shared" si="46"/>
        <v>0</v>
      </c>
      <c r="Y238" s="156">
        <f t="shared" si="46"/>
        <v>0</v>
      </c>
      <c r="Z238" s="156">
        <f t="shared" si="46"/>
        <v>0</v>
      </c>
      <c r="AA238" s="156">
        <f t="shared" si="46"/>
        <v>0</v>
      </c>
      <c r="AB238" s="156">
        <f t="shared" si="46"/>
        <v>0</v>
      </c>
      <c r="AC238" s="156">
        <f t="shared" si="46"/>
        <v>0</v>
      </c>
      <c r="AD238" s="156">
        <f t="shared" si="46"/>
        <v>0</v>
      </c>
      <c r="AE238" s="156">
        <f t="shared" si="46"/>
        <v>0</v>
      </c>
      <c r="AF238" s="156">
        <f t="shared" si="46"/>
        <v>0</v>
      </c>
      <c r="AG238" s="156">
        <f t="shared" si="46"/>
        <v>0</v>
      </c>
      <c r="AH238" s="156">
        <f t="shared" si="46"/>
        <v>0</v>
      </c>
      <c r="AI238" s="156">
        <f t="shared" si="46"/>
        <v>0</v>
      </c>
      <c r="AJ238" s="156">
        <f t="shared" si="46"/>
        <v>0</v>
      </c>
      <c r="AK238" s="157">
        <f>SUM(AK235:AK237)</f>
        <v>0</v>
      </c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</row>
    <row r="239" spans="1:61" x14ac:dyDescent="0.2">
      <c r="A239" s="120" t="s">
        <v>75</v>
      </c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158"/>
      <c r="N239" s="158"/>
      <c r="O239" s="158"/>
      <c r="P239" s="158"/>
      <c r="Q239" s="158"/>
      <c r="R239" s="158"/>
      <c r="S239" s="158"/>
      <c r="T239" s="158"/>
      <c r="U239" s="158"/>
      <c r="V239" s="158"/>
      <c r="W239" s="158"/>
      <c r="X239" s="158"/>
      <c r="Y239" s="158"/>
      <c r="Z239" s="158"/>
      <c r="AA239" s="158"/>
      <c r="AB239" s="158"/>
      <c r="AC239" s="158"/>
      <c r="AD239" s="158"/>
      <c r="AE239" s="158"/>
      <c r="AF239" s="158"/>
      <c r="AG239" s="158"/>
      <c r="AH239" s="158"/>
      <c r="AI239" s="158"/>
      <c r="AJ239" s="158"/>
      <c r="AK239" s="46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</row>
    <row r="240" spans="1:61" x14ac:dyDescent="0.2">
      <c r="A240" s="110" t="s">
        <v>92</v>
      </c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153"/>
      <c r="N240" s="153"/>
      <c r="O240" s="153"/>
      <c r="P240" s="153"/>
      <c r="Q240" s="153"/>
      <c r="R240" s="153"/>
      <c r="S240" s="153"/>
      <c r="T240" s="153"/>
      <c r="U240" s="153"/>
      <c r="V240" s="153"/>
      <c r="W240" s="153"/>
      <c r="X240" s="153"/>
      <c r="Y240" s="153"/>
      <c r="Z240" s="153"/>
      <c r="AA240" s="153"/>
      <c r="AB240" s="153"/>
      <c r="AC240" s="153"/>
      <c r="AD240" s="153"/>
      <c r="AE240" s="153"/>
      <c r="AF240" s="153"/>
      <c r="AG240" s="153"/>
      <c r="AH240" s="153"/>
      <c r="AI240" s="153"/>
      <c r="AJ240" s="153"/>
      <c r="AK240" s="46">
        <f>SUM(B240:AJ240)</f>
        <v>0</v>
      </c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  <c r="BG240" s="31"/>
      <c r="BH240" s="31"/>
      <c r="BI240" s="31"/>
    </row>
    <row r="241" spans="1:61" x14ac:dyDescent="0.2">
      <c r="A241" s="110" t="s">
        <v>93</v>
      </c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153"/>
      <c r="N241" s="153"/>
      <c r="O241" s="153"/>
      <c r="P241" s="153"/>
      <c r="Q241" s="153"/>
      <c r="R241" s="153"/>
      <c r="S241" s="153"/>
      <c r="T241" s="153"/>
      <c r="U241" s="153"/>
      <c r="V241" s="153"/>
      <c r="W241" s="153"/>
      <c r="X241" s="153"/>
      <c r="Y241" s="153"/>
      <c r="Z241" s="153"/>
      <c r="AA241" s="153"/>
      <c r="AB241" s="153"/>
      <c r="AC241" s="153"/>
      <c r="AD241" s="153"/>
      <c r="AE241" s="153"/>
      <c r="AF241" s="153"/>
      <c r="AG241" s="153"/>
      <c r="AH241" s="153"/>
      <c r="AI241" s="153"/>
      <c r="AJ241" s="153"/>
      <c r="AK241" s="46">
        <f>+SUM(B241:AJ241)</f>
        <v>0</v>
      </c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  <c r="BG241" s="31"/>
      <c r="BH241" s="31"/>
      <c r="BI241" s="31"/>
    </row>
    <row r="242" spans="1:61" x14ac:dyDescent="0.2">
      <c r="A242" s="110" t="s">
        <v>1</v>
      </c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153"/>
      <c r="N242" s="153"/>
      <c r="O242" s="153"/>
      <c r="P242" s="153"/>
      <c r="Q242" s="153"/>
      <c r="R242" s="153"/>
      <c r="S242" s="153"/>
      <c r="T242" s="153"/>
      <c r="U242" s="153"/>
      <c r="V242" s="153"/>
      <c r="W242" s="153"/>
      <c r="X242" s="153"/>
      <c r="Y242" s="153"/>
      <c r="Z242" s="153"/>
      <c r="AA242" s="153"/>
      <c r="AB242" s="153"/>
      <c r="AC242" s="153"/>
      <c r="AD242" s="153"/>
      <c r="AE242" s="153"/>
      <c r="AF242" s="153"/>
      <c r="AG242" s="153"/>
      <c r="AH242" s="153"/>
      <c r="AI242" s="153"/>
      <c r="AJ242" s="153"/>
      <c r="AK242" s="46">
        <f>SUM(B242:AJ242)</f>
        <v>0</v>
      </c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1"/>
      <c r="BH242" s="31"/>
      <c r="BI242" s="31"/>
    </row>
    <row r="243" spans="1:61" x14ac:dyDescent="0.2">
      <c r="A243" s="154" t="s">
        <v>7</v>
      </c>
      <c r="B243" s="155">
        <f>SUM(B240:B242)</f>
        <v>0</v>
      </c>
      <c r="C243" s="155">
        <f t="shared" ref="C243:H243" si="47">SUM(C240:C242)</f>
        <v>0</v>
      </c>
      <c r="D243" s="155">
        <f t="shared" si="47"/>
        <v>0</v>
      </c>
      <c r="E243" s="155">
        <f t="shared" si="47"/>
        <v>0</v>
      </c>
      <c r="F243" s="155">
        <f t="shared" si="47"/>
        <v>0</v>
      </c>
      <c r="G243" s="155">
        <f t="shared" si="47"/>
        <v>0</v>
      </c>
      <c r="H243" s="155">
        <f t="shared" si="47"/>
        <v>0</v>
      </c>
      <c r="I243" s="156">
        <f>SUM(I240:I242)</f>
        <v>0</v>
      </c>
      <c r="J243" s="156">
        <f>SUM(J240:J242)</f>
        <v>0</v>
      </c>
      <c r="K243" s="156">
        <f>SUM(K240:K242)</f>
        <v>0</v>
      </c>
      <c r="L243" s="156">
        <f>SUM(L240:L242)</f>
        <v>0</v>
      </c>
      <c r="M243" s="156">
        <f t="shared" ref="M243:AJ243" si="48">M240+M241+M242</f>
        <v>0</v>
      </c>
      <c r="N243" s="156">
        <f t="shared" si="48"/>
        <v>0</v>
      </c>
      <c r="O243" s="156">
        <f t="shared" si="48"/>
        <v>0</v>
      </c>
      <c r="P243" s="156">
        <f t="shared" si="48"/>
        <v>0</v>
      </c>
      <c r="Q243" s="156">
        <f t="shared" si="48"/>
        <v>0</v>
      </c>
      <c r="R243" s="156">
        <f t="shared" si="48"/>
        <v>0</v>
      </c>
      <c r="S243" s="156">
        <f t="shared" si="48"/>
        <v>0</v>
      </c>
      <c r="T243" s="156">
        <f t="shared" si="48"/>
        <v>0</v>
      </c>
      <c r="U243" s="156">
        <f t="shared" si="48"/>
        <v>0</v>
      </c>
      <c r="V243" s="156">
        <f t="shared" si="48"/>
        <v>0</v>
      </c>
      <c r="W243" s="156">
        <f t="shared" si="48"/>
        <v>0</v>
      </c>
      <c r="X243" s="156">
        <f t="shared" si="48"/>
        <v>0</v>
      </c>
      <c r="Y243" s="156">
        <f t="shared" si="48"/>
        <v>0</v>
      </c>
      <c r="Z243" s="156">
        <f t="shared" si="48"/>
        <v>0</v>
      </c>
      <c r="AA243" s="156">
        <f t="shared" si="48"/>
        <v>0</v>
      </c>
      <c r="AB243" s="156">
        <f t="shared" si="48"/>
        <v>0</v>
      </c>
      <c r="AC243" s="156">
        <f t="shared" si="48"/>
        <v>0</v>
      </c>
      <c r="AD243" s="156">
        <f t="shared" si="48"/>
        <v>0</v>
      </c>
      <c r="AE243" s="156">
        <f t="shared" si="48"/>
        <v>0</v>
      </c>
      <c r="AF243" s="156">
        <f t="shared" si="48"/>
        <v>0</v>
      </c>
      <c r="AG243" s="156">
        <f t="shared" si="48"/>
        <v>0</v>
      </c>
      <c r="AH243" s="156">
        <f t="shared" si="48"/>
        <v>0</v>
      </c>
      <c r="AI243" s="156">
        <f t="shared" si="48"/>
        <v>0</v>
      </c>
      <c r="AJ243" s="156">
        <f t="shared" si="48"/>
        <v>0</v>
      </c>
      <c r="AK243" s="157">
        <f>SUM(AK240:AK242)</f>
        <v>0</v>
      </c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  <c r="BG243" s="31"/>
      <c r="BH243" s="31"/>
      <c r="BI243" s="31"/>
    </row>
    <row r="244" spans="1:61" x14ac:dyDescent="0.2">
      <c r="A244" s="120" t="s">
        <v>76</v>
      </c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158"/>
      <c r="N244" s="158"/>
      <c r="O244" s="158"/>
      <c r="P244" s="158"/>
      <c r="Q244" s="158"/>
      <c r="R244" s="158"/>
      <c r="S244" s="158"/>
      <c r="T244" s="158"/>
      <c r="U244" s="158"/>
      <c r="V244" s="158"/>
      <c r="W244" s="158"/>
      <c r="X244" s="158"/>
      <c r="Y244" s="158"/>
      <c r="Z244" s="158"/>
      <c r="AA244" s="158"/>
      <c r="AB244" s="158"/>
      <c r="AC244" s="158"/>
      <c r="AD244" s="158"/>
      <c r="AE244" s="158"/>
      <c r="AF244" s="158"/>
      <c r="AG244" s="158"/>
      <c r="AH244" s="158"/>
      <c r="AI244" s="158"/>
      <c r="AJ244" s="158"/>
      <c r="AK244" s="46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  <c r="BG244" s="31"/>
      <c r="BH244" s="31"/>
      <c r="BI244" s="31"/>
    </row>
    <row r="245" spans="1:61" x14ac:dyDescent="0.2">
      <c r="A245" s="110" t="s">
        <v>92</v>
      </c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153"/>
      <c r="N245" s="153"/>
      <c r="O245" s="153"/>
      <c r="P245" s="153"/>
      <c r="Q245" s="153"/>
      <c r="R245" s="153"/>
      <c r="S245" s="153"/>
      <c r="T245" s="153"/>
      <c r="U245" s="153"/>
      <c r="V245" s="153"/>
      <c r="W245" s="153"/>
      <c r="X245" s="153"/>
      <c r="Y245" s="153"/>
      <c r="Z245" s="153"/>
      <c r="AA245" s="153"/>
      <c r="AB245" s="153"/>
      <c r="AC245" s="153"/>
      <c r="AD245" s="153"/>
      <c r="AE245" s="153"/>
      <c r="AF245" s="153"/>
      <c r="AG245" s="153"/>
      <c r="AH245" s="153"/>
      <c r="AI245" s="153"/>
      <c r="AJ245" s="153"/>
      <c r="AK245" s="46">
        <f>SUM(B245:AJ245)</f>
        <v>0</v>
      </c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  <c r="BG245" s="31"/>
      <c r="BH245" s="31"/>
      <c r="BI245" s="31"/>
    </row>
    <row r="246" spans="1:61" x14ac:dyDescent="0.2">
      <c r="A246" s="110" t="s">
        <v>93</v>
      </c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153"/>
      <c r="N246" s="153"/>
      <c r="O246" s="153"/>
      <c r="P246" s="153"/>
      <c r="Q246" s="153"/>
      <c r="R246" s="153"/>
      <c r="S246" s="153"/>
      <c r="T246" s="153"/>
      <c r="U246" s="153"/>
      <c r="V246" s="153"/>
      <c r="W246" s="153"/>
      <c r="X246" s="153"/>
      <c r="Y246" s="153"/>
      <c r="Z246" s="153"/>
      <c r="AA246" s="153"/>
      <c r="AB246" s="153"/>
      <c r="AC246" s="153"/>
      <c r="AD246" s="153"/>
      <c r="AE246" s="153"/>
      <c r="AF246" s="153"/>
      <c r="AG246" s="153"/>
      <c r="AH246" s="153"/>
      <c r="AI246" s="153"/>
      <c r="AJ246" s="153"/>
      <c r="AK246" s="46">
        <f>SUM(B246:AJ246)</f>
        <v>0</v>
      </c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  <c r="BG246" s="31"/>
      <c r="BH246" s="31"/>
      <c r="BI246" s="31"/>
    </row>
    <row r="247" spans="1:61" x14ac:dyDescent="0.2">
      <c r="A247" s="110" t="s">
        <v>1</v>
      </c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53"/>
      <c r="X247" s="153"/>
      <c r="Y247" s="153"/>
      <c r="Z247" s="153"/>
      <c r="AA247" s="153"/>
      <c r="AB247" s="153"/>
      <c r="AC247" s="153"/>
      <c r="AD247" s="153"/>
      <c r="AE247" s="153"/>
      <c r="AF247" s="153"/>
      <c r="AG247" s="153"/>
      <c r="AH247" s="153"/>
      <c r="AI247" s="153"/>
      <c r="AJ247" s="153"/>
      <c r="AK247" s="46">
        <f>SUM(B247:AJ247)</f>
        <v>0</v>
      </c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  <c r="BC247" s="31"/>
      <c r="BD247" s="31"/>
      <c r="BE247" s="31"/>
      <c r="BF247" s="31"/>
      <c r="BG247" s="31"/>
      <c r="BH247" s="31"/>
      <c r="BI247" s="31"/>
    </row>
    <row r="248" spans="1:61" ht="15.75" thickBot="1" x14ac:dyDescent="0.25">
      <c r="A248" s="160" t="s">
        <v>7</v>
      </c>
      <c r="B248" s="155">
        <f>SUM(B245:B247)</f>
        <v>0</v>
      </c>
      <c r="C248" s="155">
        <f t="shared" ref="C248:H248" si="49">SUM(C245:C247)</f>
        <v>0</v>
      </c>
      <c r="D248" s="155">
        <f t="shared" si="49"/>
        <v>0</v>
      </c>
      <c r="E248" s="155">
        <f t="shared" si="49"/>
        <v>0</v>
      </c>
      <c r="F248" s="155">
        <f t="shared" si="49"/>
        <v>0</v>
      </c>
      <c r="G248" s="155">
        <f t="shared" si="49"/>
        <v>0</v>
      </c>
      <c r="H248" s="155">
        <f t="shared" si="49"/>
        <v>0</v>
      </c>
      <c r="I248" s="156">
        <f>SUM(I245:I247)</f>
        <v>0</v>
      </c>
      <c r="J248" s="156">
        <f>SUM(J245:J247)</f>
        <v>0</v>
      </c>
      <c r="K248" s="156">
        <f>SUM(K245:K247)</f>
        <v>0</v>
      </c>
      <c r="L248" s="156">
        <f>SUM(L245:L247)</f>
        <v>0</v>
      </c>
      <c r="M248" s="156">
        <f t="shared" ref="M248:AJ248" si="50">M245+M246+M247</f>
        <v>0</v>
      </c>
      <c r="N248" s="156">
        <f t="shared" si="50"/>
        <v>0</v>
      </c>
      <c r="O248" s="156">
        <f t="shared" si="50"/>
        <v>0</v>
      </c>
      <c r="P248" s="156">
        <f t="shared" si="50"/>
        <v>0</v>
      </c>
      <c r="Q248" s="156">
        <f t="shared" si="50"/>
        <v>0</v>
      </c>
      <c r="R248" s="156">
        <f t="shared" si="50"/>
        <v>0</v>
      </c>
      <c r="S248" s="156">
        <f t="shared" si="50"/>
        <v>0</v>
      </c>
      <c r="T248" s="156">
        <f t="shared" si="50"/>
        <v>0</v>
      </c>
      <c r="U248" s="156">
        <f t="shared" si="50"/>
        <v>0</v>
      </c>
      <c r="V248" s="156">
        <f t="shared" si="50"/>
        <v>0</v>
      </c>
      <c r="W248" s="156">
        <f t="shared" si="50"/>
        <v>0</v>
      </c>
      <c r="X248" s="156">
        <f t="shared" si="50"/>
        <v>0</v>
      </c>
      <c r="Y248" s="156">
        <f t="shared" si="50"/>
        <v>0</v>
      </c>
      <c r="Z248" s="156">
        <f t="shared" si="50"/>
        <v>0</v>
      </c>
      <c r="AA248" s="156">
        <f t="shared" si="50"/>
        <v>0</v>
      </c>
      <c r="AB248" s="156">
        <f t="shared" si="50"/>
        <v>0</v>
      </c>
      <c r="AC248" s="156">
        <f t="shared" si="50"/>
        <v>0</v>
      </c>
      <c r="AD248" s="156">
        <f t="shared" si="50"/>
        <v>0</v>
      </c>
      <c r="AE248" s="156">
        <f t="shared" si="50"/>
        <v>0</v>
      </c>
      <c r="AF248" s="156">
        <f t="shared" si="50"/>
        <v>0</v>
      </c>
      <c r="AG248" s="156">
        <f t="shared" si="50"/>
        <v>0</v>
      </c>
      <c r="AH248" s="156">
        <f t="shared" si="50"/>
        <v>0</v>
      </c>
      <c r="AI248" s="156">
        <f t="shared" si="50"/>
        <v>0</v>
      </c>
      <c r="AJ248" s="156">
        <f t="shared" si="50"/>
        <v>0</v>
      </c>
      <c r="AK248" s="161">
        <f>SUM(AK245:AK247)</f>
        <v>0</v>
      </c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</row>
    <row r="249" spans="1:61" x14ac:dyDescent="0.2">
      <c r="A249" s="162"/>
      <c r="B249" s="163"/>
      <c r="C249" s="163"/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4"/>
      <c r="S249" s="164"/>
      <c r="T249" s="164"/>
      <c r="U249" s="164"/>
      <c r="V249" s="164"/>
      <c r="AK249" s="162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  <c r="BA249" s="31"/>
      <c r="BB249" s="31"/>
      <c r="BC249" s="31"/>
      <c r="BD249" s="31"/>
      <c r="BE249" s="31"/>
      <c r="BF249" s="31"/>
      <c r="BG249" s="31"/>
      <c r="BH249" s="31"/>
      <c r="BI249" s="31"/>
    </row>
    <row r="250" spans="1:61" ht="15.75" thickBot="1" x14ac:dyDescent="0.25">
      <c r="A250" s="162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162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  <c r="BA250" s="31"/>
      <c r="BB250" s="31"/>
      <c r="BC250" s="31"/>
      <c r="BD250" s="31"/>
      <c r="BE250" s="31"/>
      <c r="BF250" s="31"/>
      <c r="BG250" s="31"/>
      <c r="BH250" s="31"/>
      <c r="BI250" s="31"/>
    </row>
    <row r="251" spans="1:61" ht="25.5" customHeight="1" thickBot="1" x14ac:dyDescent="0.25">
      <c r="A251" s="165" t="s">
        <v>139</v>
      </c>
      <c r="B251" s="166"/>
      <c r="C251" s="166"/>
      <c r="D251" s="166"/>
      <c r="E251" s="166"/>
      <c r="F251" s="166"/>
      <c r="G251" s="166"/>
      <c r="H251" s="166"/>
      <c r="I251" s="166"/>
      <c r="J251" s="166"/>
      <c r="K251" s="166"/>
      <c r="L251" s="166"/>
      <c r="M251" s="166"/>
      <c r="N251" s="166"/>
      <c r="O251" s="166"/>
      <c r="P251" s="166"/>
      <c r="Q251" s="166"/>
      <c r="R251" s="166"/>
      <c r="S251" s="166"/>
      <c r="T251" s="166"/>
      <c r="U251" s="166"/>
      <c r="V251" s="166"/>
      <c r="W251" s="166"/>
      <c r="X251" s="166"/>
      <c r="Y251" s="166"/>
      <c r="Z251" s="166"/>
      <c r="AA251" s="166"/>
      <c r="AB251" s="166"/>
      <c r="AC251" s="166"/>
      <c r="AD251" s="166"/>
      <c r="AE251" s="166"/>
      <c r="AF251" s="166"/>
      <c r="AG251" s="166"/>
      <c r="AH251" s="166"/>
      <c r="AI251" s="166"/>
      <c r="AJ251" s="166"/>
      <c r="AK251" s="167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  <c r="BA251" s="31"/>
      <c r="BB251" s="31"/>
      <c r="BC251" s="31"/>
      <c r="BD251" s="31"/>
      <c r="BE251" s="31"/>
      <c r="BF251" s="31"/>
      <c r="BG251" s="31"/>
      <c r="BH251" s="31"/>
      <c r="BI251" s="31"/>
    </row>
    <row r="252" spans="1:61" s="149" customFormat="1" ht="15.75" thickBot="1" x14ac:dyDescent="0.25">
      <c r="A252" s="168"/>
      <c r="B252" s="169" t="s">
        <v>2</v>
      </c>
      <c r="C252" s="169" t="s">
        <v>104</v>
      </c>
      <c r="D252" s="169" t="s">
        <v>140</v>
      </c>
      <c r="E252" s="169" t="s">
        <v>106</v>
      </c>
      <c r="F252" s="169" t="s">
        <v>107</v>
      </c>
      <c r="G252" s="169" t="s">
        <v>108</v>
      </c>
      <c r="H252" s="169" t="s">
        <v>109</v>
      </c>
      <c r="I252" s="170" t="s">
        <v>110</v>
      </c>
      <c r="J252" s="170" t="s">
        <v>111</v>
      </c>
      <c r="K252" s="170" t="s">
        <v>112</v>
      </c>
      <c r="L252" s="169" t="s">
        <v>113</v>
      </c>
      <c r="M252" s="169" t="s">
        <v>114</v>
      </c>
      <c r="N252" s="169" t="s">
        <v>115</v>
      </c>
      <c r="O252" s="169" t="s">
        <v>116</v>
      </c>
      <c r="P252" s="169" t="s">
        <v>117</v>
      </c>
      <c r="Q252" s="169" t="s">
        <v>118</v>
      </c>
      <c r="R252" s="169" t="s">
        <v>119</v>
      </c>
      <c r="S252" s="169" t="s">
        <v>120</v>
      </c>
      <c r="T252" s="169" t="s">
        <v>121</v>
      </c>
      <c r="U252" s="169" t="s">
        <v>122</v>
      </c>
      <c r="V252" s="169" t="s">
        <v>123</v>
      </c>
      <c r="W252" s="169" t="s">
        <v>124</v>
      </c>
      <c r="X252" s="169" t="s">
        <v>125</v>
      </c>
      <c r="Y252" s="169" t="s">
        <v>126</v>
      </c>
      <c r="Z252" s="169" t="s">
        <v>127</v>
      </c>
      <c r="AA252" s="169" t="s">
        <v>128</v>
      </c>
      <c r="AB252" s="169" t="s">
        <v>129</v>
      </c>
      <c r="AC252" s="169" t="s">
        <v>130</v>
      </c>
      <c r="AD252" s="169" t="s">
        <v>131</v>
      </c>
      <c r="AE252" s="169" t="s">
        <v>132</v>
      </c>
      <c r="AF252" s="169" t="s">
        <v>133</v>
      </c>
      <c r="AG252" s="169" t="s">
        <v>134</v>
      </c>
      <c r="AH252" s="169" t="s">
        <v>135</v>
      </c>
      <c r="AI252" s="169" t="s">
        <v>136</v>
      </c>
      <c r="AJ252" s="169" t="s">
        <v>137</v>
      </c>
      <c r="AK252" s="171" t="s">
        <v>0</v>
      </c>
      <c r="AM252" s="31"/>
    </row>
    <row r="253" spans="1:61" x14ac:dyDescent="0.2">
      <c r="A253" s="150" t="s">
        <v>65</v>
      </c>
      <c r="B253" s="151"/>
      <c r="C253" s="151"/>
      <c r="D253" s="151"/>
      <c r="E253" s="151"/>
      <c r="F253" s="151"/>
      <c r="G253" s="151"/>
      <c r="H253" s="151"/>
      <c r="I253" s="151"/>
      <c r="J253" s="151"/>
      <c r="K253" s="151"/>
      <c r="L253" s="151"/>
      <c r="M253" s="151"/>
      <c r="N253" s="151"/>
      <c r="O253" s="151"/>
      <c r="P253" s="151"/>
      <c r="Q253" s="151"/>
      <c r="R253" s="151"/>
      <c r="S253" s="151"/>
      <c r="T253" s="151"/>
      <c r="U253" s="151"/>
      <c r="V253" s="151"/>
      <c r="W253" s="151"/>
      <c r="X253" s="151"/>
      <c r="Y253" s="151"/>
      <c r="Z253" s="151"/>
      <c r="AA253" s="151"/>
      <c r="AB253" s="151"/>
      <c r="AC253" s="151"/>
      <c r="AD253" s="151"/>
      <c r="AE253" s="151"/>
      <c r="AF253" s="151"/>
      <c r="AG253" s="151"/>
      <c r="AH253" s="151"/>
      <c r="AI253" s="151"/>
      <c r="AJ253" s="151"/>
      <c r="AK253" s="152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  <c r="BA253" s="31"/>
      <c r="BB253" s="31"/>
      <c r="BC253" s="31"/>
      <c r="BD253" s="31"/>
      <c r="BE253" s="31"/>
      <c r="BF253" s="31"/>
      <c r="BG253" s="31"/>
      <c r="BH253" s="31"/>
      <c r="BI253" s="31"/>
    </row>
    <row r="254" spans="1:61" x14ac:dyDescent="0.2">
      <c r="A254" s="110" t="s">
        <v>92</v>
      </c>
      <c r="B254" s="44">
        <v>33</v>
      </c>
      <c r="C254" s="44">
        <v>2</v>
      </c>
      <c r="D254" s="44">
        <v>0</v>
      </c>
      <c r="E254" s="44">
        <v>0</v>
      </c>
      <c r="F254" s="44">
        <v>0</v>
      </c>
      <c r="G254" s="44">
        <v>2</v>
      </c>
      <c r="H254" s="44">
        <v>0</v>
      </c>
      <c r="I254" s="44">
        <v>0</v>
      </c>
      <c r="J254" s="44">
        <v>14</v>
      </c>
      <c r="K254" s="44">
        <v>0</v>
      </c>
      <c r="L254" s="44">
        <v>5</v>
      </c>
      <c r="M254" s="153">
        <v>2</v>
      </c>
      <c r="N254" s="153">
        <v>0</v>
      </c>
      <c r="O254" s="153">
        <v>1</v>
      </c>
      <c r="P254" s="153">
        <v>0</v>
      </c>
      <c r="Q254" s="153">
        <v>0</v>
      </c>
      <c r="R254" s="153">
        <v>0</v>
      </c>
      <c r="S254" s="153">
        <v>0</v>
      </c>
      <c r="T254" s="153">
        <v>0</v>
      </c>
      <c r="U254" s="153">
        <v>0</v>
      </c>
      <c r="V254" s="153">
        <v>0</v>
      </c>
      <c r="W254" s="153">
        <v>1</v>
      </c>
      <c r="X254" s="153">
        <v>0</v>
      </c>
      <c r="Y254" s="153">
        <v>0</v>
      </c>
      <c r="Z254" s="153">
        <v>1</v>
      </c>
      <c r="AA254" s="153">
        <v>1</v>
      </c>
      <c r="AB254" s="153">
        <v>12</v>
      </c>
      <c r="AC254" s="153">
        <v>0</v>
      </c>
      <c r="AD254" s="153">
        <v>7</v>
      </c>
      <c r="AE254" s="153">
        <v>0</v>
      </c>
      <c r="AF254" s="153">
        <v>0</v>
      </c>
      <c r="AG254" s="153">
        <v>8</v>
      </c>
      <c r="AH254" s="153">
        <v>4</v>
      </c>
      <c r="AI254" s="153">
        <v>2</v>
      </c>
      <c r="AJ254" s="153">
        <v>1</v>
      </c>
      <c r="AK254" s="46">
        <f>SUM(B254:AJ254)</f>
        <v>96</v>
      </c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1"/>
      <c r="BC254" s="31"/>
      <c r="BD254" s="31"/>
      <c r="BE254" s="31"/>
      <c r="BF254" s="31"/>
      <c r="BG254" s="31"/>
      <c r="BH254" s="31"/>
      <c r="BI254" s="31"/>
    </row>
    <row r="255" spans="1:61" x14ac:dyDescent="0.2">
      <c r="A255" s="110" t="s">
        <v>93</v>
      </c>
      <c r="B255" s="44">
        <v>142</v>
      </c>
      <c r="C255" s="44">
        <v>16</v>
      </c>
      <c r="D255" s="44">
        <v>36</v>
      </c>
      <c r="E255" s="44">
        <v>16</v>
      </c>
      <c r="F255" s="44">
        <v>1</v>
      </c>
      <c r="G255" s="44">
        <v>1</v>
      </c>
      <c r="H255" s="44">
        <v>1</v>
      </c>
      <c r="I255" s="44">
        <v>3</v>
      </c>
      <c r="J255" s="44">
        <v>103</v>
      </c>
      <c r="K255" s="44">
        <v>1</v>
      </c>
      <c r="L255" s="44">
        <v>39</v>
      </c>
      <c r="M255" s="153">
        <v>4</v>
      </c>
      <c r="N255" s="153">
        <v>0</v>
      </c>
      <c r="O255" s="153">
        <v>1</v>
      </c>
      <c r="P255" s="153">
        <v>26</v>
      </c>
      <c r="Q255" s="153">
        <v>0</v>
      </c>
      <c r="R255" s="153">
        <v>0</v>
      </c>
      <c r="S255" s="153">
        <v>0</v>
      </c>
      <c r="T255" s="153">
        <v>26</v>
      </c>
      <c r="U255" s="153">
        <v>13</v>
      </c>
      <c r="V255" s="153">
        <v>5</v>
      </c>
      <c r="W255" s="153">
        <v>4</v>
      </c>
      <c r="X255" s="153">
        <v>6</v>
      </c>
      <c r="Y255" s="153">
        <v>0</v>
      </c>
      <c r="Z255" s="153">
        <v>28</v>
      </c>
      <c r="AA255" s="153">
        <v>0</v>
      </c>
      <c r="AB255" s="153">
        <v>18</v>
      </c>
      <c r="AC255" s="153">
        <v>0</v>
      </c>
      <c r="AD255" s="153">
        <v>18</v>
      </c>
      <c r="AE255" s="153">
        <v>1</v>
      </c>
      <c r="AF255" s="153">
        <v>3</v>
      </c>
      <c r="AG255" s="153">
        <v>243</v>
      </c>
      <c r="AH255" s="153">
        <v>135</v>
      </c>
      <c r="AI255" s="153">
        <v>71</v>
      </c>
      <c r="AJ255" s="153">
        <v>27</v>
      </c>
      <c r="AK255" s="46">
        <f>SUM(B255:AJ255)</f>
        <v>988</v>
      </c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31"/>
      <c r="BG255" s="31"/>
      <c r="BH255" s="31"/>
      <c r="BI255" s="31"/>
    </row>
    <row r="256" spans="1:61" x14ac:dyDescent="0.2">
      <c r="A256" s="110" t="s">
        <v>1</v>
      </c>
      <c r="B256" s="44">
        <v>213</v>
      </c>
      <c r="C256" s="44">
        <v>30</v>
      </c>
      <c r="D256" s="44">
        <v>51</v>
      </c>
      <c r="E256" s="44">
        <v>1</v>
      </c>
      <c r="F256" s="44">
        <v>47</v>
      </c>
      <c r="G256" s="44">
        <v>19</v>
      </c>
      <c r="H256" s="44">
        <v>3</v>
      </c>
      <c r="I256" s="44">
        <v>62</v>
      </c>
      <c r="J256" s="44">
        <v>513</v>
      </c>
      <c r="K256" s="44">
        <v>0</v>
      </c>
      <c r="L256" s="44">
        <v>88</v>
      </c>
      <c r="M256" s="153">
        <v>0</v>
      </c>
      <c r="N256" s="153">
        <v>0</v>
      </c>
      <c r="O256" s="153">
        <v>0</v>
      </c>
      <c r="P256" s="153">
        <v>0</v>
      </c>
      <c r="Q256" s="153">
        <v>0</v>
      </c>
      <c r="R256" s="153">
        <v>0</v>
      </c>
      <c r="S256" s="153">
        <v>0</v>
      </c>
      <c r="T256" s="153">
        <v>0</v>
      </c>
      <c r="U256" s="153">
        <v>0</v>
      </c>
      <c r="V256" s="153">
        <v>3</v>
      </c>
      <c r="W256" s="153">
        <v>0</v>
      </c>
      <c r="X256" s="153">
        <v>0</v>
      </c>
      <c r="Y256" s="153">
        <v>0</v>
      </c>
      <c r="Z256" s="153">
        <v>0</v>
      </c>
      <c r="AA256" s="153">
        <v>0</v>
      </c>
      <c r="AB256" s="153">
        <v>0</v>
      </c>
      <c r="AC256" s="153">
        <v>0</v>
      </c>
      <c r="AD256" s="153">
        <v>0</v>
      </c>
      <c r="AE256" s="153">
        <v>0</v>
      </c>
      <c r="AF256" s="153">
        <v>0</v>
      </c>
      <c r="AG256" s="153">
        <v>1</v>
      </c>
      <c r="AH256" s="153">
        <v>17</v>
      </c>
      <c r="AI256" s="153">
        <v>35</v>
      </c>
      <c r="AJ256" s="153">
        <v>13</v>
      </c>
      <c r="AK256" s="46">
        <f>SUM(B256:AJ256)</f>
        <v>1096</v>
      </c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</row>
    <row r="257" spans="1:61" x14ac:dyDescent="0.2">
      <c r="A257" s="154" t="s">
        <v>7</v>
      </c>
      <c r="B257" s="155">
        <f t="shared" ref="B257:K257" si="51">B254+B255+B256</f>
        <v>388</v>
      </c>
      <c r="C257" s="155">
        <f t="shared" si="51"/>
        <v>48</v>
      </c>
      <c r="D257" s="155">
        <f t="shared" si="51"/>
        <v>87</v>
      </c>
      <c r="E257" s="155">
        <f t="shared" si="51"/>
        <v>17</v>
      </c>
      <c r="F257" s="155">
        <f t="shared" si="51"/>
        <v>48</v>
      </c>
      <c r="G257" s="155">
        <f t="shared" si="51"/>
        <v>22</v>
      </c>
      <c r="H257" s="155">
        <f t="shared" si="51"/>
        <v>4</v>
      </c>
      <c r="I257" s="156">
        <f t="shared" si="51"/>
        <v>65</v>
      </c>
      <c r="J257" s="156">
        <f t="shared" si="51"/>
        <v>630</v>
      </c>
      <c r="K257" s="156">
        <f t="shared" si="51"/>
        <v>1</v>
      </c>
      <c r="L257" s="155">
        <f t="shared" ref="L257:AJ257" si="52">L254+L255+L256</f>
        <v>132</v>
      </c>
      <c r="M257" s="156">
        <f t="shared" si="52"/>
        <v>6</v>
      </c>
      <c r="N257" s="156">
        <f t="shared" si="52"/>
        <v>0</v>
      </c>
      <c r="O257" s="156">
        <f t="shared" si="52"/>
        <v>2</v>
      </c>
      <c r="P257" s="156">
        <f t="shared" si="52"/>
        <v>26</v>
      </c>
      <c r="Q257" s="156">
        <f t="shared" si="52"/>
        <v>0</v>
      </c>
      <c r="R257" s="156">
        <f t="shared" si="52"/>
        <v>0</v>
      </c>
      <c r="S257" s="156">
        <f t="shared" si="52"/>
        <v>0</v>
      </c>
      <c r="T257" s="156">
        <f t="shared" si="52"/>
        <v>26</v>
      </c>
      <c r="U257" s="156">
        <f t="shared" si="52"/>
        <v>13</v>
      </c>
      <c r="V257" s="156">
        <f t="shared" si="52"/>
        <v>8</v>
      </c>
      <c r="W257" s="156">
        <f t="shared" si="52"/>
        <v>5</v>
      </c>
      <c r="X257" s="156">
        <f t="shared" si="52"/>
        <v>6</v>
      </c>
      <c r="Y257" s="156">
        <f t="shared" si="52"/>
        <v>0</v>
      </c>
      <c r="Z257" s="156">
        <f t="shared" si="52"/>
        <v>29</v>
      </c>
      <c r="AA257" s="156">
        <f t="shared" si="52"/>
        <v>1</v>
      </c>
      <c r="AB257" s="156">
        <f t="shared" si="52"/>
        <v>30</v>
      </c>
      <c r="AC257" s="156">
        <f t="shared" si="52"/>
        <v>0</v>
      </c>
      <c r="AD257" s="156">
        <f t="shared" si="52"/>
        <v>25</v>
      </c>
      <c r="AE257" s="156">
        <f t="shared" si="52"/>
        <v>1</v>
      </c>
      <c r="AF257" s="156">
        <f t="shared" si="52"/>
        <v>3</v>
      </c>
      <c r="AG257" s="156">
        <f t="shared" si="52"/>
        <v>252</v>
      </c>
      <c r="AH257" s="156">
        <f t="shared" si="52"/>
        <v>156</v>
      </c>
      <c r="AI257" s="156">
        <f t="shared" si="52"/>
        <v>108</v>
      </c>
      <c r="AJ257" s="156">
        <f t="shared" si="52"/>
        <v>41</v>
      </c>
      <c r="AK257" s="157">
        <f>SUM(AK254:AK256)</f>
        <v>2180</v>
      </c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</row>
    <row r="258" spans="1:61" x14ac:dyDescent="0.2">
      <c r="A258" s="120" t="s">
        <v>66</v>
      </c>
      <c r="B258" s="45" t="s">
        <v>138</v>
      </c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158"/>
      <c r="N258" s="158"/>
      <c r="O258" s="158"/>
      <c r="P258" s="158"/>
      <c r="Q258" s="158"/>
      <c r="R258" s="158"/>
      <c r="S258" s="158"/>
      <c r="T258" s="158"/>
      <c r="U258" s="158"/>
      <c r="V258" s="158"/>
      <c r="W258" s="158"/>
      <c r="X258" s="158"/>
      <c r="Y258" s="158"/>
      <c r="Z258" s="158"/>
      <c r="AA258" s="158"/>
      <c r="AB258" s="158"/>
      <c r="AC258" s="158"/>
      <c r="AD258" s="158"/>
      <c r="AE258" s="158"/>
      <c r="AF258" s="158"/>
      <c r="AG258" s="158"/>
      <c r="AH258" s="158"/>
      <c r="AI258" s="158"/>
      <c r="AJ258" s="158"/>
      <c r="AK258" s="46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</row>
    <row r="259" spans="1:61" x14ac:dyDescent="0.2">
      <c r="A259" s="110" t="s">
        <v>92</v>
      </c>
      <c r="B259" s="44">
        <v>14</v>
      </c>
      <c r="C259" s="44">
        <v>2</v>
      </c>
      <c r="D259" s="44">
        <v>1</v>
      </c>
      <c r="E259" s="44">
        <v>1</v>
      </c>
      <c r="F259" s="44">
        <v>0</v>
      </c>
      <c r="G259" s="44">
        <v>0</v>
      </c>
      <c r="H259" s="44">
        <v>0</v>
      </c>
      <c r="I259" s="44">
        <v>2</v>
      </c>
      <c r="J259" s="44">
        <v>2</v>
      </c>
      <c r="K259" s="44">
        <v>0</v>
      </c>
      <c r="L259" s="44">
        <v>0</v>
      </c>
      <c r="M259" s="153">
        <v>2</v>
      </c>
      <c r="N259" s="153">
        <v>0</v>
      </c>
      <c r="O259" s="153">
        <v>0</v>
      </c>
      <c r="P259" s="153">
        <v>0</v>
      </c>
      <c r="Q259" s="153">
        <v>0</v>
      </c>
      <c r="R259" s="153">
        <v>0</v>
      </c>
      <c r="S259" s="153">
        <v>0</v>
      </c>
      <c r="T259" s="153">
        <v>0</v>
      </c>
      <c r="U259" s="153">
        <v>1</v>
      </c>
      <c r="V259" s="153">
        <v>2</v>
      </c>
      <c r="W259" s="153">
        <v>2</v>
      </c>
      <c r="X259" s="153">
        <v>0</v>
      </c>
      <c r="Y259" s="153">
        <v>0</v>
      </c>
      <c r="Z259" s="153">
        <v>1</v>
      </c>
      <c r="AA259" s="153">
        <v>0</v>
      </c>
      <c r="AB259" s="153">
        <v>2</v>
      </c>
      <c r="AC259" s="153">
        <v>0</v>
      </c>
      <c r="AD259" s="153">
        <v>9</v>
      </c>
      <c r="AE259" s="153">
        <v>0</v>
      </c>
      <c r="AF259" s="153">
        <v>0</v>
      </c>
      <c r="AG259" s="153">
        <v>4</v>
      </c>
      <c r="AH259" s="153">
        <v>1</v>
      </c>
      <c r="AI259" s="153">
        <v>0</v>
      </c>
      <c r="AJ259" s="153">
        <v>3</v>
      </c>
      <c r="AK259" s="46">
        <f>SUM(B259:AJ259)</f>
        <v>49</v>
      </c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  <c r="BE259" s="31"/>
      <c r="BF259" s="31"/>
      <c r="BG259" s="31"/>
      <c r="BH259" s="31"/>
      <c r="BI259" s="31"/>
    </row>
    <row r="260" spans="1:61" x14ac:dyDescent="0.2">
      <c r="A260" s="110" t="s">
        <v>93</v>
      </c>
      <c r="B260" s="44">
        <v>204</v>
      </c>
      <c r="C260" s="44">
        <v>30</v>
      </c>
      <c r="D260" s="44">
        <v>32</v>
      </c>
      <c r="E260" s="44">
        <v>13</v>
      </c>
      <c r="F260" s="44">
        <v>4</v>
      </c>
      <c r="G260" s="44">
        <v>4</v>
      </c>
      <c r="H260" s="44">
        <v>1</v>
      </c>
      <c r="I260" s="44">
        <v>1</v>
      </c>
      <c r="J260" s="44">
        <v>133</v>
      </c>
      <c r="K260" s="44">
        <v>0</v>
      </c>
      <c r="L260" s="44">
        <v>53</v>
      </c>
      <c r="M260" s="153">
        <v>0</v>
      </c>
      <c r="N260" s="153">
        <v>2</v>
      </c>
      <c r="O260" s="153">
        <v>0</v>
      </c>
      <c r="P260" s="153">
        <v>22</v>
      </c>
      <c r="Q260" s="153">
        <v>0</v>
      </c>
      <c r="R260" s="153">
        <v>0</v>
      </c>
      <c r="S260" s="153">
        <v>0</v>
      </c>
      <c r="T260" s="153">
        <v>16</v>
      </c>
      <c r="U260" s="153">
        <v>12</v>
      </c>
      <c r="V260" s="153">
        <v>3</v>
      </c>
      <c r="W260" s="153">
        <v>3</v>
      </c>
      <c r="X260" s="153">
        <v>9</v>
      </c>
      <c r="Y260" s="153">
        <v>0</v>
      </c>
      <c r="Z260" s="153">
        <v>15</v>
      </c>
      <c r="AA260" s="153">
        <v>4</v>
      </c>
      <c r="AB260" s="153">
        <v>15</v>
      </c>
      <c r="AC260" s="153">
        <v>1</v>
      </c>
      <c r="AD260" s="153">
        <v>21</v>
      </c>
      <c r="AE260" s="153">
        <v>2</v>
      </c>
      <c r="AF260" s="153">
        <v>5</v>
      </c>
      <c r="AG260" s="153">
        <v>253</v>
      </c>
      <c r="AH260" s="153">
        <v>162</v>
      </c>
      <c r="AI260" s="153">
        <v>57</v>
      </c>
      <c r="AJ260" s="153">
        <v>19</v>
      </c>
      <c r="AK260" s="46">
        <f>SUM(B260:AJ260)</f>
        <v>1096</v>
      </c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  <c r="BA260" s="31"/>
      <c r="BB260" s="31"/>
      <c r="BC260" s="31"/>
      <c r="BD260" s="31"/>
      <c r="BE260" s="31"/>
      <c r="BF260" s="31"/>
      <c r="BG260" s="31"/>
      <c r="BH260" s="31"/>
      <c r="BI260" s="31"/>
    </row>
    <row r="261" spans="1:61" x14ac:dyDescent="0.2">
      <c r="A261" s="110" t="s">
        <v>1</v>
      </c>
      <c r="B261" s="44">
        <v>429</v>
      </c>
      <c r="C261" s="44">
        <v>43</v>
      </c>
      <c r="D261" s="44">
        <v>74</v>
      </c>
      <c r="E261" s="44">
        <v>6</v>
      </c>
      <c r="F261" s="44">
        <v>64</v>
      </c>
      <c r="G261" s="44">
        <v>32</v>
      </c>
      <c r="H261" s="44">
        <v>4</v>
      </c>
      <c r="I261" s="44">
        <v>10</v>
      </c>
      <c r="J261" s="44">
        <v>290</v>
      </c>
      <c r="K261" s="44">
        <v>0</v>
      </c>
      <c r="L261" s="44">
        <v>101</v>
      </c>
      <c r="M261" s="153">
        <v>0</v>
      </c>
      <c r="N261" s="153">
        <v>0</v>
      </c>
      <c r="O261" s="153">
        <v>0</v>
      </c>
      <c r="P261" s="153">
        <v>0</v>
      </c>
      <c r="Q261" s="153">
        <v>0</v>
      </c>
      <c r="R261" s="153">
        <v>0</v>
      </c>
      <c r="S261" s="153">
        <v>0</v>
      </c>
      <c r="T261" s="153">
        <v>1</v>
      </c>
      <c r="U261" s="153">
        <v>0</v>
      </c>
      <c r="V261" s="153">
        <v>0</v>
      </c>
      <c r="W261" s="153">
        <v>0</v>
      </c>
      <c r="X261" s="153">
        <v>0</v>
      </c>
      <c r="Y261" s="153">
        <v>0</v>
      </c>
      <c r="Z261" s="153">
        <v>0</v>
      </c>
      <c r="AA261" s="153">
        <v>0</v>
      </c>
      <c r="AB261" s="153">
        <v>0</v>
      </c>
      <c r="AC261" s="153">
        <v>0</v>
      </c>
      <c r="AD261" s="153">
        <v>0</v>
      </c>
      <c r="AE261" s="153">
        <v>0</v>
      </c>
      <c r="AF261" s="153">
        <v>0</v>
      </c>
      <c r="AG261" s="153">
        <v>0</v>
      </c>
      <c r="AH261" s="153">
        <v>22</v>
      </c>
      <c r="AI261" s="153">
        <v>56</v>
      </c>
      <c r="AJ261" s="153">
        <v>12</v>
      </c>
      <c r="AK261" s="46">
        <f>SUM(B261:AJ261)</f>
        <v>1144</v>
      </c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  <c r="BC261" s="31"/>
      <c r="BD261" s="31"/>
      <c r="BE261" s="31"/>
      <c r="BF261" s="31"/>
      <c r="BG261" s="31"/>
      <c r="BH261" s="31"/>
      <c r="BI261" s="31"/>
    </row>
    <row r="262" spans="1:61" x14ac:dyDescent="0.2">
      <c r="A262" s="154" t="s">
        <v>7</v>
      </c>
      <c r="B262" s="155">
        <f t="shared" ref="B262:K262" si="53">B259+B260+B261</f>
        <v>647</v>
      </c>
      <c r="C262" s="155">
        <f t="shared" si="53"/>
        <v>75</v>
      </c>
      <c r="D262" s="155">
        <f t="shared" si="53"/>
        <v>107</v>
      </c>
      <c r="E262" s="155">
        <f t="shared" si="53"/>
        <v>20</v>
      </c>
      <c r="F262" s="155">
        <f t="shared" si="53"/>
        <v>68</v>
      </c>
      <c r="G262" s="155">
        <f t="shared" si="53"/>
        <v>36</v>
      </c>
      <c r="H262" s="155">
        <f t="shared" si="53"/>
        <v>5</v>
      </c>
      <c r="I262" s="155">
        <f t="shared" si="53"/>
        <v>13</v>
      </c>
      <c r="J262" s="155">
        <f t="shared" si="53"/>
        <v>425</v>
      </c>
      <c r="K262" s="156">
        <f t="shared" si="53"/>
        <v>0</v>
      </c>
      <c r="L262" s="155">
        <f t="shared" ref="L262:AJ262" si="54">L259+L260+L261</f>
        <v>154</v>
      </c>
      <c r="M262" s="156">
        <f t="shared" si="54"/>
        <v>2</v>
      </c>
      <c r="N262" s="156">
        <f t="shared" si="54"/>
        <v>2</v>
      </c>
      <c r="O262" s="156">
        <f t="shared" si="54"/>
        <v>0</v>
      </c>
      <c r="P262" s="156">
        <f t="shared" si="54"/>
        <v>22</v>
      </c>
      <c r="Q262" s="156">
        <f t="shared" si="54"/>
        <v>0</v>
      </c>
      <c r="R262" s="156">
        <f t="shared" si="54"/>
        <v>0</v>
      </c>
      <c r="S262" s="156">
        <f t="shared" si="54"/>
        <v>0</v>
      </c>
      <c r="T262" s="156">
        <f t="shared" si="54"/>
        <v>17</v>
      </c>
      <c r="U262" s="156">
        <f t="shared" si="54"/>
        <v>13</v>
      </c>
      <c r="V262" s="156">
        <f t="shared" si="54"/>
        <v>5</v>
      </c>
      <c r="W262" s="156">
        <f t="shared" si="54"/>
        <v>5</v>
      </c>
      <c r="X262" s="156">
        <f t="shared" si="54"/>
        <v>9</v>
      </c>
      <c r="Y262" s="156">
        <f t="shared" si="54"/>
        <v>0</v>
      </c>
      <c r="Z262" s="156">
        <f t="shared" si="54"/>
        <v>16</v>
      </c>
      <c r="AA262" s="156">
        <f t="shared" si="54"/>
        <v>4</v>
      </c>
      <c r="AB262" s="156">
        <f t="shared" si="54"/>
        <v>17</v>
      </c>
      <c r="AC262" s="156">
        <f t="shared" si="54"/>
        <v>1</v>
      </c>
      <c r="AD262" s="156">
        <f t="shared" si="54"/>
        <v>30</v>
      </c>
      <c r="AE262" s="156">
        <f t="shared" si="54"/>
        <v>2</v>
      </c>
      <c r="AF262" s="156">
        <f t="shared" si="54"/>
        <v>5</v>
      </c>
      <c r="AG262" s="156">
        <f t="shared" si="54"/>
        <v>257</v>
      </c>
      <c r="AH262" s="156">
        <f t="shared" si="54"/>
        <v>185</v>
      </c>
      <c r="AI262" s="156">
        <f t="shared" si="54"/>
        <v>113</v>
      </c>
      <c r="AJ262" s="156">
        <f t="shared" si="54"/>
        <v>34</v>
      </c>
      <c r="AK262" s="157">
        <f>SUM(AK259:AK261)</f>
        <v>2289</v>
      </c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  <c r="BA262" s="31"/>
      <c r="BB262" s="31"/>
      <c r="BC262" s="31"/>
      <c r="BD262" s="31"/>
      <c r="BE262" s="31"/>
      <c r="BF262" s="31"/>
      <c r="BG262" s="31"/>
      <c r="BH262" s="31"/>
      <c r="BI262" s="31"/>
    </row>
    <row r="263" spans="1:61" x14ac:dyDescent="0.2">
      <c r="A263" s="120" t="s">
        <v>67</v>
      </c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158"/>
      <c r="N263" s="158"/>
      <c r="O263" s="158"/>
      <c r="P263" s="158"/>
      <c r="Q263" s="158"/>
      <c r="R263" s="158"/>
      <c r="S263" s="158"/>
      <c r="T263" s="158"/>
      <c r="U263" s="158"/>
      <c r="V263" s="158"/>
      <c r="W263" s="158"/>
      <c r="X263" s="158"/>
      <c r="Y263" s="158"/>
      <c r="Z263" s="158"/>
      <c r="AA263" s="158"/>
      <c r="AB263" s="158"/>
      <c r="AC263" s="158"/>
      <c r="AD263" s="158"/>
      <c r="AE263" s="158"/>
      <c r="AF263" s="158"/>
      <c r="AG263" s="158"/>
      <c r="AH263" s="158"/>
      <c r="AI263" s="158"/>
      <c r="AJ263" s="158"/>
      <c r="AK263" s="46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1"/>
      <c r="BC263" s="31"/>
      <c r="BD263" s="31"/>
      <c r="BE263" s="31"/>
      <c r="BF263" s="31"/>
      <c r="BG263" s="31"/>
      <c r="BH263" s="31"/>
      <c r="BI263" s="31"/>
    </row>
    <row r="264" spans="1:61" x14ac:dyDescent="0.2">
      <c r="A264" s="110" t="s">
        <v>92</v>
      </c>
      <c r="B264" s="44">
        <v>6</v>
      </c>
      <c r="C264" s="44">
        <v>0</v>
      </c>
      <c r="D264" s="44">
        <v>0</v>
      </c>
      <c r="E264" s="44">
        <v>0</v>
      </c>
      <c r="F264" s="44">
        <v>0</v>
      </c>
      <c r="G264" s="44">
        <v>0</v>
      </c>
      <c r="H264" s="44">
        <v>0</v>
      </c>
      <c r="I264" s="44">
        <v>0</v>
      </c>
      <c r="J264" s="44">
        <v>0</v>
      </c>
      <c r="K264" s="44">
        <v>0</v>
      </c>
      <c r="L264" s="44">
        <v>0</v>
      </c>
      <c r="M264" s="44">
        <v>0</v>
      </c>
      <c r="N264" s="44">
        <v>0</v>
      </c>
      <c r="O264" s="44">
        <v>0</v>
      </c>
      <c r="P264" s="44">
        <v>0</v>
      </c>
      <c r="Q264" s="44">
        <v>0</v>
      </c>
      <c r="R264" s="44">
        <v>0</v>
      </c>
      <c r="S264" s="44">
        <v>0</v>
      </c>
      <c r="T264" s="44">
        <v>0</v>
      </c>
      <c r="U264" s="44">
        <v>0</v>
      </c>
      <c r="V264" s="44">
        <v>0</v>
      </c>
      <c r="W264" s="44">
        <v>0</v>
      </c>
      <c r="X264" s="44">
        <v>0</v>
      </c>
      <c r="Y264" s="44">
        <v>0</v>
      </c>
      <c r="Z264" s="44">
        <v>0</v>
      </c>
      <c r="AA264" s="44">
        <v>0</v>
      </c>
      <c r="AB264" s="44">
        <v>0</v>
      </c>
      <c r="AC264" s="44">
        <v>0</v>
      </c>
      <c r="AD264" s="44">
        <v>0</v>
      </c>
      <c r="AE264" s="44">
        <v>0</v>
      </c>
      <c r="AF264" s="44">
        <v>0</v>
      </c>
      <c r="AG264" s="44">
        <v>0</v>
      </c>
      <c r="AH264" s="44">
        <v>0</v>
      </c>
      <c r="AI264" s="44">
        <v>0</v>
      </c>
      <c r="AJ264" s="44">
        <v>0</v>
      </c>
      <c r="AK264" s="46">
        <f>SUM(B264:AJ264)</f>
        <v>6</v>
      </c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1"/>
      <c r="BC264" s="31"/>
      <c r="BD264" s="31"/>
      <c r="BE264" s="31"/>
      <c r="BF264" s="31"/>
      <c r="BG264" s="31"/>
      <c r="BH264" s="31"/>
      <c r="BI264" s="31"/>
    </row>
    <row r="265" spans="1:61" x14ac:dyDescent="0.2">
      <c r="A265" s="110" t="s">
        <v>93</v>
      </c>
      <c r="B265" s="44">
        <v>340</v>
      </c>
      <c r="C265" s="44">
        <v>62</v>
      </c>
      <c r="D265" s="44">
        <v>35</v>
      </c>
      <c r="E265" s="44">
        <v>16</v>
      </c>
      <c r="F265" s="44">
        <v>20</v>
      </c>
      <c r="G265" s="44">
        <v>5</v>
      </c>
      <c r="H265" s="44">
        <v>2</v>
      </c>
      <c r="I265" s="44">
        <v>7</v>
      </c>
      <c r="J265" s="44">
        <v>175</v>
      </c>
      <c r="K265" s="44">
        <v>0</v>
      </c>
      <c r="L265" s="44">
        <v>96</v>
      </c>
      <c r="M265" s="153">
        <v>0</v>
      </c>
      <c r="N265" s="153">
        <v>0</v>
      </c>
      <c r="O265" s="153">
        <v>1</v>
      </c>
      <c r="P265" s="153">
        <v>26</v>
      </c>
      <c r="Q265" s="153">
        <v>0</v>
      </c>
      <c r="R265" s="153">
        <v>0</v>
      </c>
      <c r="S265" s="153">
        <v>0</v>
      </c>
      <c r="T265" s="153">
        <v>21</v>
      </c>
      <c r="U265" s="153">
        <v>14</v>
      </c>
      <c r="V265" s="153">
        <v>7</v>
      </c>
      <c r="W265" s="153">
        <v>4</v>
      </c>
      <c r="X265" s="153">
        <v>2</v>
      </c>
      <c r="Y265" s="153">
        <v>0</v>
      </c>
      <c r="Z265" s="153">
        <v>29</v>
      </c>
      <c r="AA265" s="153">
        <v>9</v>
      </c>
      <c r="AB265" s="153">
        <v>17</v>
      </c>
      <c r="AC265" s="153">
        <v>0</v>
      </c>
      <c r="AD265" s="153">
        <v>50</v>
      </c>
      <c r="AE265" s="153">
        <v>2</v>
      </c>
      <c r="AF265" s="153">
        <v>0</v>
      </c>
      <c r="AG265" s="153">
        <v>264</v>
      </c>
      <c r="AH265" s="153">
        <v>231</v>
      </c>
      <c r="AI265" s="153">
        <v>57</v>
      </c>
      <c r="AJ265" s="153">
        <v>18</v>
      </c>
      <c r="AK265" s="46">
        <f>SUM(B265:AJ265)</f>
        <v>1510</v>
      </c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  <c r="BA265" s="31"/>
      <c r="BB265" s="31"/>
      <c r="BC265" s="31"/>
      <c r="BD265" s="31"/>
      <c r="BE265" s="31"/>
      <c r="BF265" s="31"/>
      <c r="BG265" s="31"/>
      <c r="BH265" s="31"/>
      <c r="BI265" s="31"/>
    </row>
    <row r="266" spans="1:61" x14ac:dyDescent="0.2">
      <c r="A266" s="110" t="s">
        <v>1</v>
      </c>
      <c r="B266" s="44">
        <v>343</v>
      </c>
      <c r="C266" s="44">
        <v>51</v>
      </c>
      <c r="D266" s="44">
        <v>30</v>
      </c>
      <c r="E266" s="44">
        <v>3</v>
      </c>
      <c r="F266" s="44">
        <v>23</v>
      </c>
      <c r="G266" s="44">
        <v>3</v>
      </c>
      <c r="H266" s="44">
        <v>5</v>
      </c>
      <c r="I266" s="44">
        <v>0</v>
      </c>
      <c r="J266" s="44">
        <v>123</v>
      </c>
      <c r="K266" s="44">
        <v>0</v>
      </c>
      <c r="L266" s="44">
        <v>54</v>
      </c>
      <c r="M266" s="153">
        <v>0</v>
      </c>
      <c r="N266" s="153">
        <v>0</v>
      </c>
      <c r="O266" s="153">
        <v>0</v>
      </c>
      <c r="P266" s="153">
        <v>0</v>
      </c>
      <c r="Q266" s="153">
        <v>0</v>
      </c>
      <c r="R266" s="153">
        <v>0</v>
      </c>
      <c r="S266" s="153">
        <v>0</v>
      </c>
      <c r="T266" s="153">
        <v>0</v>
      </c>
      <c r="U266" s="153">
        <v>0</v>
      </c>
      <c r="V266" s="153">
        <v>0</v>
      </c>
      <c r="W266" s="153">
        <v>0</v>
      </c>
      <c r="X266" s="153">
        <v>0</v>
      </c>
      <c r="Y266" s="153">
        <v>0</v>
      </c>
      <c r="Z266" s="153">
        <v>0</v>
      </c>
      <c r="AA266" s="153">
        <v>0</v>
      </c>
      <c r="AB266" s="153">
        <v>0</v>
      </c>
      <c r="AC266" s="153">
        <v>0</v>
      </c>
      <c r="AD266" s="153">
        <v>0</v>
      </c>
      <c r="AE266" s="153">
        <v>0</v>
      </c>
      <c r="AF266" s="153">
        <v>0</v>
      </c>
      <c r="AG266" s="153">
        <v>0</v>
      </c>
      <c r="AH266" s="153">
        <v>34</v>
      </c>
      <c r="AI266" s="153">
        <v>16</v>
      </c>
      <c r="AJ266" s="153">
        <v>8</v>
      </c>
      <c r="AK266" s="46">
        <f>SUM(B266:AJ266)</f>
        <v>693</v>
      </c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  <c r="BA266" s="31"/>
      <c r="BB266" s="31"/>
      <c r="BC266" s="31"/>
      <c r="BD266" s="31"/>
      <c r="BE266" s="31"/>
      <c r="BF266" s="31"/>
      <c r="BG266" s="31"/>
      <c r="BH266" s="31"/>
      <c r="BI266" s="31"/>
    </row>
    <row r="267" spans="1:61" x14ac:dyDescent="0.2">
      <c r="A267" s="154" t="s">
        <v>7</v>
      </c>
      <c r="B267" s="155">
        <f>SUM(B264:B266)</f>
        <v>689</v>
      </c>
      <c r="C267" s="155">
        <f t="shared" ref="C267:H267" si="55">SUM(C264:C266)</f>
        <v>113</v>
      </c>
      <c r="D267" s="155">
        <f t="shared" si="55"/>
        <v>65</v>
      </c>
      <c r="E267" s="155">
        <f t="shared" si="55"/>
        <v>19</v>
      </c>
      <c r="F267" s="155">
        <f t="shared" si="55"/>
        <v>43</v>
      </c>
      <c r="G267" s="155">
        <f t="shared" si="55"/>
        <v>8</v>
      </c>
      <c r="H267" s="155">
        <f t="shared" si="55"/>
        <v>7</v>
      </c>
      <c r="I267" s="156">
        <f>SUM(I264:I266)</f>
        <v>7</v>
      </c>
      <c r="J267" s="156">
        <f>SUM(J264:J266)</f>
        <v>298</v>
      </c>
      <c r="K267" s="156">
        <f>SUM(K264:K266)</f>
        <v>0</v>
      </c>
      <c r="L267" s="156">
        <f>SUM(L264:L266)</f>
        <v>150</v>
      </c>
      <c r="M267" s="156">
        <f t="shared" ref="M267:AK267" si="56">M264+M265+M266</f>
        <v>0</v>
      </c>
      <c r="N267" s="156">
        <f t="shared" si="56"/>
        <v>0</v>
      </c>
      <c r="O267" s="156">
        <f t="shared" si="56"/>
        <v>1</v>
      </c>
      <c r="P267" s="156">
        <f t="shared" si="56"/>
        <v>26</v>
      </c>
      <c r="Q267" s="156">
        <f t="shared" si="56"/>
        <v>0</v>
      </c>
      <c r="R267" s="156">
        <f t="shared" si="56"/>
        <v>0</v>
      </c>
      <c r="S267" s="156">
        <f t="shared" si="56"/>
        <v>0</v>
      </c>
      <c r="T267" s="156">
        <f t="shared" si="56"/>
        <v>21</v>
      </c>
      <c r="U267" s="156">
        <f t="shared" si="56"/>
        <v>14</v>
      </c>
      <c r="V267" s="156">
        <f t="shared" si="56"/>
        <v>7</v>
      </c>
      <c r="W267" s="156">
        <f t="shared" si="56"/>
        <v>4</v>
      </c>
      <c r="X267" s="156">
        <f t="shared" si="56"/>
        <v>2</v>
      </c>
      <c r="Y267" s="156">
        <f t="shared" si="56"/>
        <v>0</v>
      </c>
      <c r="Z267" s="156">
        <f t="shared" si="56"/>
        <v>29</v>
      </c>
      <c r="AA267" s="156">
        <f t="shared" si="56"/>
        <v>9</v>
      </c>
      <c r="AB267" s="156">
        <f t="shared" si="56"/>
        <v>17</v>
      </c>
      <c r="AC267" s="156">
        <f t="shared" si="56"/>
        <v>0</v>
      </c>
      <c r="AD267" s="156">
        <f t="shared" si="56"/>
        <v>50</v>
      </c>
      <c r="AE267" s="156">
        <f t="shared" si="56"/>
        <v>2</v>
      </c>
      <c r="AF267" s="156">
        <f t="shared" si="56"/>
        <v>0</v>
      </c>
      <c r="AG267" s="156">
        <f t="shared" si="56"/>
        <v>264</v>
      </c>
      <c r="AH267" s="156">
        <f t="shared" si="56"/>
        <v>265</v>
      </c>
      <c r="AI267" s="156">
        <f t="shared" si="56"/>
        <v>73</v>
      </c>
      <c r="AJ267" s="156">
        <f t="shared" si="56"/>
        <v>26</v>
      </c>
      <c r="AK267" s="157">
        <f t="shared" si="56"/>
        <v>2209</v>
      </c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  <c r="BA267" s="31"/>
      <c r="BB267" s="31"/>
      <c r="BC267" s="31"/>
      <c r="BD267" s="31"/>
      <c r="BE267" s="31"/>
      <c r="BF267" s="31"/>
      <c r="BG267" s="31"/>
      <c r="BH267" s="31"/>
      <c r="BI267" s="31"/>
    </row>
    <row r="268" spans="1:61" x14ac:dyDescent="0.2">
      <c r="A268" s="120" t="s">
        <v>68</v>
      </c>
      <c r="B268" s="158"/>
      <c r="C268" s="158"/>
      <c r="D268" s="158"/>
      <c r="E268" s="158"/>
      <c r="F268" s="158"/>
      <c r="G268" s="158"/>
      <c r="H268" s="158"/>
      <c r="I268" s="158"/>
      <c r="J268" s="158"/>
      <c r="K268" s="158"/>
      <c r="L268" s="158"/>
      <c r="M268" s="158"/>
      <c r="N268" s="158"/>
      <c r="O268" s="158"/>
      <c r="P268" s="158"/>
      <c r="Q268" s="158"/>
      <c r="R268" s="158"/>
      <c r="S268" s="158"/>
      <c r="T268" s="158"/>
      <c r="U268" s="158"/>
      <c r="V268" s="158"/>
      <c r="W268" s="158"/>
      <c r="X268" s="158"/>
      <c r="Y268" s="158"/>
      <c r="Z268" s="158"/>
      <c r="AA268" s="158"/>
      <c r="AB268" s="158"/>
      <c r="AC268" s="158"/>
      <c r="AD268" s="158"/>
      <c r="AE268" s="158"/>
      <c r="AF268" s="158"/>
      <c r="AG268" s="158"/>
      <c r="AH268" s="158"/>
      <c r="AI268" s="158"/>
      <c r="AJ268" s="158"/>
      <c r="AK268" s="46"/>
      <c r="AL268" s="31"/>
      <c r="AM268" s="31"/>
      <c r="AN268" s="31">
        <v>13</v>
      </c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  <c r="BA268" s="31"/>
      <c r="BB268" s="31"/>
      <c r="BC268" s="31"/>
      <c r="BD268" s="31"/>
      <c r="BE268" s="31"/>
      <c r="BF268" s="31"/>
      <c r="BG268" s="31"/>
      <c r="BH268" s="31"/>
      <c r="BI268" s="31"/>
    </row>
    <row r="269" spans="1:61" x14ac:dyDescent="0.2">
      <c r="A269" s="110" t="s">
        <v>92</v>
      </c>
      <c r="B269" s="44">
        <v>13</v>
      </c>
      <c r="C269" s="44">
        <v>0</v>
      </c>
      <c r="D269" s="44">
        <v>6</v>
      </c>
      <c r="E269" s="44">
        <v>0</v>
      </c>
      <c r="F269" s="44">
        <v>0</v>
      </c>
      <c r="G269" s="44">
        <v>0</v>
      </c>
      <c r="H269" s="44">
        <v>0</v>
      </c>
      <c r="I269" s="44">
        <v>0</v>
      </c>
      <c r="J269" s="44">
        <v>4</v>
      </c>
      <c r="K269" s="44">
        <v>0</v>
      </c>
      <c r="L269" s="44">
        <v>3</v>
      </c>
      <c r="M269" s="153">
        <v>1</v>
      </c>
      <c r="N269" s="153">
        <v>0</v>
      </c>
      <c r="O269" s="153">
        <v>0</v>
      </c>
      <c r="P269" s="153">
        <v>1</v>
      </c>
      <c r="Q269" s="153">
        <v>0</v>
      </c>
      <c r="R269" s="153">
        <v>0</v>
      </c>
      <c r="S269" s="153">
        <v>0</v>
      </c>
      <c r="T269" s="153">
        <v>1</v>
      </c>
      <c r="U269" s="153">
        <v>1</v>
      </c>
      <c r="V269" s="153">
        <v>0</v>
      </c>
      <c r="W269" s="153">
        <v>0</v>
      </c>
      <c r="X269" s="153">
        <v>0</v>
      </c>
      <c r="Y269" s="153">
        <v>0</v>
      </c>
      <c r="Z269" s="153">
        <v>2</v>
      </c>
      <c r="AA269" s="153">
        <v>0</v>
      </c>
      <c r="AB269" s="153">
        <v>8</v>
      </c>
      <c r="AC269" s="153">
        <v>0</v>
      </c>
      <c r="AD269" s="153">
        <v>2</v>
      </c>
      <c r="AE269" s="153">
        <v>0</v>
      </c>
      <c r="AF269" s="153">
        <v>0</v>
      </c>
      <c r="AG269" s="153">
        <v>2</v>
      </c>
      <c r="AH269" s="153">
        <v>2</v>
      </c>
      <c r="AI269" s="153">
        <v>0</v>
      </c>
      <c r="AJ269" s="153">
        <v>2</v>
      </c>
      <c r="AK269" s="46">
        <f>SUM(B269:AJ269)</f>
        <v>48</v>
      </c>
      <c r="AL269" s="31"/>
      <c r="AM269" s="31"/>
      <c r="AN269" s="31">
        <v>2</v>
      </c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</row>
    <row r="270" spans="1:61" x14ac:dyDescent="0.2">
      <c r="A270" s="110" t="s">
        <v>93</v>
      </c>
      <c r="B270" s="44">
        <v>272</v>
      </c>
      <c r="C270" s="44">
        <v>34</v>
      </c>
      <c r="D270" s="44">
        <v>56</v>
      </c>
      <c r="E270" s="44">
        <v>12</v>
      </c>
      <c r="F270" s="44">
        <v>8</v>
      </c>
      <c r="G270" s="44">
        <v>9</v>
      </c>
      <c r="H270" s="44">
        <v>3</v>
      </c>
      <c r="I270" s="44">
        <v>7</v>
      </c>
      <c r="J270" s="44">
        <v>203</v>
      </c>
      <c r="K270" s="44">
        <v>1</v>
      </c>
      <c r="L270" s="44">
        <v>86</v>
      </c>
      <c r="M270" s="153">
        <v>3</v>
      </c>
      <c r="N270" s="153">
        <v>0</v>
      </c>
      <c r="O270" s="153">
        <v>0</v>
      </c>
      <c r="P270" s="153">
        <v>28</v>
      </c>
      <c r="Q270" s="153">
        <v>3</v>
      </c>
      <c r="R270" s="153">
        <v>1</v>
      </c>
      <c r="S270" s="153">
        <v>0</v>
      </c>
      <c r="T270" s="153">
        <v>44</v>
      </c>
      <c r="U270" s="153">
        <v>4</v>
      </c>
      <c r="V270" s="153">
        <v>6</v>
      </c>
      <c r="W270" s="153">
        <v>3</v>
      </c>
      <c r="X270" s="153">
        <v>17</v>
      </c>
      <c r="Y270" s="153">
        <v>3</v>
      </c>
      <c r="Z270" s="153">
        <v>33</v>
      </c>
      <c r="AA270" s="153">
        <v>2</v>
      </c>
      <c r="AB270" s="153">
        <v>17</v>
      </c>
      <c r="AC270" s="153">
        <v>0</v>
      </c>
      <c r="AD270" s="153">
        <v>25</v>
      </c>
      <c r="AE270" s="153">
        <v>3</v>
      </c>
      <c r="AF270" s="153">
        <v>7</v>
      </c>
      <c r="AG270" s="153">
        <v>336</v>
      </c>
      <c r="AH270" s="153">
        <v>297</v>
      </c>
      <c r="AI270" s="153">
        <v>41</v>
      </c>
      <c r="AJ270" s="153">
        <v>42</v>
      </c>
      <c r="AK270" s="46">
        <f>SUM(B270:AJ270)</f>
        <v>1606</v>
      </c>
      <c r="AL270" s="31"/>
      <c r="AM270" s="31"/>
      <c r="AN270" s="31">
        <v>10</v>
      </c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  <c r="BA270" s="31"/>
      <c r="BB270" s="31"/>
      <c r="BC270" s="31"/>
      <c r="BD270" s="31"/>
      <c r="BE270" s="31"/>
      <c r="BF270" s="31"/>
      <c r="BG270" s="31"/>
      <c r="BH270" s="31"/>
      <c r="BI270" s="31"/>
    </row>
    <row r="271" spans="1:61" x14ac:dyDescent="0.2">
      <c r="A271" s="110" t="s">
        <v>1</v>
      </c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153"/>
      <c r="N271" s="153"/>
      <c r="O271" s="153"/>
      <c r="P271" s="153"/>
      <c r="Q271" s="153"/>
      <c r="R271" s="153"/>
      <c r="S271" s="153"/>
      <c r="T271" s="153"/>
      <c r="U271" s="153"/>
      <c r="V271" s="153"/>
      <c r="W271" s="153"/>
      <c r="X271" s="153"/>
      <c r="Y271" s="153"/>
      <c r="Z271" s="153"/>
      <c r="AA271" s="153"/>
      <c r="AB271" s="153"/>
      <c r="AC271" s="153"/>
      <c r="AD271" s="153"/>
      <c r="AE271" s="153"/>
      <c r="AF271" s="153"/>
      <c r="AG271" s="153"/>
      <c r="AH271" s="153"/>
      <c r="AI271" s="153"/>
      <c r="AJ271" s="153"/>
      <c r="AK271" s="46">
        <f>SUM(B271:AJ271)</f>
        <v>0</v>
      </c>
      <c r="AL271" s="31"/>
      <c r="AM271" s="31"/>
      <c r="AN271" s="31">
        <v>14</v>
      </c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  <c r="BA271" s="31"/>
      <c r="BB271" s="31"/>
      <c r="BC271" s="31"/>
      <c r="BD271" s="31"/>
      <c r="BE271" s="31"/>
      <c r="BF271" s="31"/>
      <c r="BG271" s="31"/>
      <c r="BH271" s="31"/>
      <c r="BI271" s="31"/>
    </row>
    <row r="272" spans="1:61" x14ac:dyDescent="0.2">
      <c r="A272" s="154" t="s">
        <v>7</v>
      </c>
      <c r="B272" s="155">
        <f t="shared" ref="B272:K272" si="57">SUM(B269:B271)</f>
        <v>285</v>
      </c>
      <c r="C272" s="155">
        <f t="shared" si="57"/>
        <v>34</v>
      </c>
      <c r="D272" s="155">
        <f t="shared" si="57"/>
        <v>62</v>
      </c>
      <c r="E272" s="155">
        <f t="shared" si="57"/>
        <v>12</v>
      </c>
      <c r="F272" s="155">
        <f t="shared" si="57"/>
        <v>8</v>
      </c>
      <c r="G272" s="155">
        <f t="shared" si="57"/>
        <v>9</v>
      </c>
      <c r="H272" s="155">
        <f t="shared" si="57"/>
        <v>3</v>
      </c>
      <c r="I272" s="155">
        <f t="shared" si="57"/>
        <v>7</v>
      </c>
      <c r="J272" s="155">
        <f t="shared" si="57"/>
        <v>207</v>
      </c>
      <c r="K272" s="156">
        <f t="shared" si="57"/>
        <v>1</v>
      </c>
      <c r="L272" s="155">
        <f t="shared" ref="L272:AJ272" si="58">SUM(L269:L271)</f>
        <v>89</v>
      </c>
      <c r="M272" s="156">
        <f t="shared" si="58"/>
        <v>4</v>
      </c>
      <c r="N272" s="156">
        <f t="shared" si="58"/>
        <v>0</v>
      </c>
      <c r="O272" s="156">
        <f t="shared" si="58"/>
        <v>0</v>
      </c>
      <c r="P272" s="156">
        <f t="shared" si="58"/>
        <v>29</v>
      </c>
      <c r="Q272" s="156">
        <f t="shared" si="58"/>
        <v>3</v>
      </c>
      <c r="R272" s="156">
        <f t="shared" si="58"/>
        <v>1</v>
      </c>
      <c r="S272" s="156">
        <f t="shared" si="58"/>
        <v>0</v>
      </c>
      <c r="T272" s="156">
        <f t="shared" si="58"/>
        <v>45</v>
      </c>
      <c r="U272" s="156">
        <f t="shared" si="58"/>
        <v>5</v>
      </c>
      <c r="V272" s="156">
        <f t="shared" si="58"/>
        <v>6</v>
      </c>
      <c r="W272" s="156">
        <f t="shared" si="58"/>
        <v>3</v>
      </c>
      <c r="X272" s="156">
        <f t="shared" si="58"/>
        <v>17</v>
      </c>
      <c r="Y272" s="156">
        <f t="shared" si="58"/>
        <v>3</v>
      </c>
      <c r="Z272" s="156">
        <f t="shared" si="58"/>
        <v>35</v>
      </c>
      <c r="AA272" s="156">
        <f t="shared" si="58"/>
        <v>2</v>
      </c>
      <c r="AB272" s="156">
        <f t="shared" si="58"/>
        <v>25</v>
      </c>
      <c r="AC272" s="156">
        <f t="shared" si="58"/>
        <v>0</v>
      </c>
      <c r="AD272" s="156">
        <f t="shared" si="58"/>
        <v>27</v>
      </c>
      <c r="AE272" s="156">
        <f t="shared" si="58"/>
        <v>3</v>
      </c>
      <c r="AF272" s="156">
        <f t="shared" si="58"/>
        <v>7</v>
      </c>
      <c r="AG272" s="156">
        <f t="shared" si="58"/>
        <v>338</v>
      </c>
      <c r="AH272" s="156">
        <f t="shared" si="58"/>
        <v>299</v>
      </c>
      <c r="AI272" s="156">
        <f t="shared" si="58"/>
        <v>41</v>
      </c>
      <c r="AJ272" s="156">
        <f t="shared" si="58"/>
        <v>44</v>
      </c>
      <c r="AK272" s="157">
        <f>SUM(AK269:AK271)</f>
        <v>1654</v>
      </c>
      <c r="AL272" s="31"/>
      <c r="AM272" s="31"/>
      <c r="AN272" s="31">
        <v>1</v>
      </c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/>
      <c r="BD272" s="31"/>
      <c r="BE272" s="31"/>
      <c r="BF272" s="31"/>
      <c r="BG272" s="31"/>
      <c r="BH272" s="31"/>
      <c r="BI272" s="31"/>
    </row>
    <row r="273" spans="1:61" x14ac:dyDescent="0.2">
      <c r="A273" s="120" t="s">
        <v>69</v>
      </c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158"/>
      <c r="N273" s="158"/>
      <c r="O273" s="158"/>
      <c r="P273" s="158"/>
      <c r="Q273" s="158"/>
      <c r="R273" s="158"/>
      <c r="S273" s="158"/>
      <c r="T273" s="158"/>
      <c r="U273" s="158"/>
      <c r="V273" s="158"/>
      <c r="W273" s="158"/>
      <c r="X273" s="158"/>
      <c r="Y273" s="158"/>
      <c r="Z273" s="158"/>
      <c r="AA273" s="158"/>
      <c r="AB273" s="158"/>
      <c r="AC273" s="158"/>
      <c r="AD273" s="158"/>
      <c r="AE273" s="158"/>
      <c r="AF273" s="158"/>
      <c r="AG273" s="158"/>
      <c r="AH273" s="158"/>
      <c r="AI273" s="158"/>
      <c r="AJ273" s="158"/>
      <c r="AK273" s="46"/>
      <c r="AL273" s="31"/>
      <c r="AM273" s="31"/>
      <c r="AN273" s="31">
        <v>5</v>
      </c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  <c r="BA273" s="31"/>
      <c r="BB273" s="31"/>
      <c r="BC273" s="31"/>
      <c r="BD273" s="31"/>
      <c r="BE273" s="31"/>
      <c r="BF273" s="31"/>
      <c r="BG273" s="31"/>
      <c r="BH273" s="31"/>
      <c r="BI273" s="31"/>
    </row>
    <row r="274" spans="1:61" x14ac:dyDescent="0.2">
      <c r="A274" s="110" t="s">
        <v>92</v>
      </c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153"/>
      <c r="N274" s="153"/>
      <c r="O274" s="153"/>
      <c r="P274" s="153"/>
      <c r="Q274" s="153"/>
      <c r="R274" s="153"/>
      <c r="S274" s="153"/>
      <c r="T274" s="153"/>
      <c r="U274" s="153"/>
      <c r="V274" s="153"/>
      <c r="W274" s="153"/>
      <c r="X274" s="153"/>
      <c r="Y274" s="153"/>
      <c r="Z274" s="153"/>
      <c r="AA274" s="153"/>
      <c r="AB274" s="153"/>
      <c r="AC274" s="153"/>
      <c r="AD274" s="153"/>
      <c r="AE274" s="153"/>
      <c r="AF274" s="153"/>
      <c r="AG274" s="153"/>
      <c r="AH274" s="153"/>
      <c r="AI274" s="153"/>
      <c r="AJ274" s="153"/>
      <c r="AK274" s="46">
        <f>SUM(B274:AJ274)</f>
        <v>0</v>
      </c>
      <c r="AL274" s="31"/>
      <c r="AM274" s="31"/>
      <c r="AN274" s="31">
        <v>248</v>
      </c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  <c r="BA274" s="31"/>
      <c r="BB274" s="31"/>
      <c r="BC274" s="31"/>
      <c r="BD274" s="31"/>
      <c r="BE274" s="31"/>
      <c r="BF274" s="31"/>
      <c r="BG274" s="31"/>
      <c r="BH274" s="31"/>
      <c r="BI274" s="31"/>
    </row>
    <row r="275" spans="1:61" x14ac:dyDescent="0.2">
      <c r="A275" s="110" t="s">
        <v>93</v>
      </c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153"/>
      <c r="N275" s="153"/>
      <c r="O275" s="153"/>
      <c r="P275" s="153"/>
      <c r="Q275" s="153"/>
      <c r="R275" s="153"/>
      <c r="S275" s="153"/>
      <c r="T275" s="153"/>
      <c r="U275" s="153"/>
      <c r="V275" s="153"/>
      <c r="W275" s="153"/>
      <c r="X275" s="153"/>
      <c r="Y275" s="153"/>
      <c r="Z275" s="153"/>
      <c r="AA275" s="153"/>
      <c r="AB275" s="153"/>
      <c r="AC275" s="153"/>
      <c r="AD275" s="153"/>
      <c r="AE275" s="153"/>
      <c r="AF275" s="153"/>
      <c r="AG275" s="153"/>
      <c r="AH275" s="153"/>
      <c r="AI275" s="153"/>
      <c r="AJ275" s="153"/>
      <c r="AK275" s="46">
        <f>SUM(B275:AJ275)</f>
        <v>0</v>
      </c>
      <c r="AL275" s="31"/>
      <c r="AM275" s="31"/>
      <c r="AN275" s="31">
        <v>147</v>
      </c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  <c r="BA275" s="31"/>
      <c r="BB275" s="31"/>
      <c r="BC275" s="31"/>
      <c r="BD275" s="31"/>
      <c r="BE275" s="31"/>
      <c r="BF275" s="31"/>
      <c r="BG275" s="31"/>
      <c r="BH275" s="31"/>
      <c r="BI275" s="31"/>
    </row>
    <row r="276" spans="1:61" x14ac:dyDescent="0.2">
      <c r="A276" s="110" t="s">
        <v>1</v>
      </c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153"/>
      <c r="N276" s="153"/>
      <c r="O276" s="153"/>
      <c r="P276" s="153"/>
      <c r="Q276" s="153"/>
      <c r="R276" s="153"/>
      <c r="S276" s="153"/>
      <c r="T276" s="153"/>
      <c r="U276" s="153"/>
      <c r="V276" s="153"/>
      <c r="W276" s="153"/>
      <c r="X276" s="153"/>
      <c r="Y276" s="153"/>
      <c r="Z276" s="153"/>
      <c r="AA276" s="153"/>
      <c r="AB276" s="153"/>
      <c r="AC276" s="153"/>
      <c r="AD276" s="153"/>
      <c r="AE276" s="153"/>
      <c r="AF276" s="153"/>
      <c r="AG276" s="153"/>
      <c r="AH276" s="153"/>
      <c r="AI276" s="153"/>
      <c r="AJ276" s="153"/>
      <c r="AK276" s="46">
        <f>SUM(B276:AJ276)</f>
        <v>0</v>
      </c>
      <c r="AL276" s="31"/>
      <c r="AM276" s="31"/>
      <c r="AN276" s="31">
        <v>44</v>
      </c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  <c r="BA276" s="31"/>
      <c r="BB276" s="31"/>
      <c r="BC276" s="31"/>
      <c r="BD276" s="31"/>
      <c r="BE276" s="31"/>
      <c r="BF276" s="31"/>
      <c r="BG276" s="31"/>
      <c r="BH276" s="31"/>
      <c r="BI276" s="31"/>
    </row>
    <row r="277" spans="1:61" ht="15.75" thickBot="1" x14ac:dyDescent="0.25">
      <c r="A277" s="154" t="s">
        <v>7</v>
      </c>
      <c r="B277" s="155">
        <f>SUM(B274:B276)</f>
        <v>0</v>
      </c>
      <c r="C277" s="155">
        <f t="shared" ref="C277:H277" si="59">SUM(C274:C276)</f>
        <v>0</v>
      </c>
      <c r="D277" s="155">
        <f t="shared" si="59"/>
        <v>0</v>
      </c>
      <c r="E277" s="155">
        <f t="shared" si="59"/>
        <v>0</v>
      </c>
      <c r="F277" s="155">
        <f t="shared" si="59"/>
        <v>0</v>
      </c>
      <c r="G277" s="155">
        <f t="shared" si="59"/>
        <v>0</v>
      </c>
      <c r="H277" s="155">
        <f t="shared" si="59"/>
        <v>0</v>
      </c>
      <c r="I277" s="156">
        <f>SUM(I274:I276)</f>
        <v>0</v>
      </c>
      <c r="J277" s="156">
        <f>SUM(J274:J276)</f>
        <v>0</v>
      </c>
      <c r="K277" s="156">
        <f>SUM(K274:K276)</f>
        <v>0</v>
      </c>
      <c r="L277" s="156">
        <f>SUM(L274:L276)</f>
        <v>0</v>
      </c>
      <c r="M277" s="156">
        <f t="shared" ref="M277:AK277" si="60">M274+M275+M276</f>
        <v>0</v>
      </c>
      <c r="N277" s="156">
        <f t="shared" si="60"/>
        <v>0</v>
      </c>
      <c r="O277" s="156">
        <f t="shared" si="60"/>
        <v>0</v>
      </c>
      <c r="P277" s="156">
        <f t="shared" si="60"/>
        <v>0</v>
      </c>
      <c r="Q277" s="156">
        <f t="shared" si="60"/>
        <v>0</v>
      </c>
      <c r="R277" s="156">
        <f t="shared" si="60"/>
        <v>0</v>
      </c>
      <c r="S277" s="156">
        <f t="shared" si="60"/>
        <v>0</v>
      </c>
      <c r="T277" s="156">
        <f t="shared" si="60"/>
        <v>0</v>
      </c>
      <c r="U277" s="156">
        <f t="shared" si="60"/>
        <v>0</v>
      </c>
      <c r="V277" s="156">
        <f t="shared" si="60"/>
        <v>0</v>
      </c>
      <c r="W277" s="156">
        <f t="shared" si="60"/>
        <v>0</v>
      </c>
      <c r="X277" s="156">
        <f t="shared" si="60"/>
        <v>0</v>
      </c>
      <c r="Y277" s="156">
        <f t="shared" si="60"/>
        <v>0</v>
      </c>
      <c r="Z277" s="156">
        <f t="shared" si="60"/>
        <v>0</v>
      </c>
      <c r="AA277" s="156">
        <f t="shared" si="60"/>
        <v>0</v>
      </c>
      <c r="AB277" s="156">
        <f t="shared" si="60"/>
        <v>0</v>
      </c>
      <c r="AC277" s="156">
        <f t="shared" si="60"/>
        <v>0</v>
      </c>
      <c r="AD277" s="156">
        <f t="shared" si="60"/>
        <v>0</v>
      </c>
      <c r="AE277" s="156">
        <f t="shared" si="60"/>
        <v>0</v>
      </c>
      <c r="AF277" s="156">
        <f t="shared" si="60"/>
        <v>0</v>
      </c>
      <c r="AG277" s="156">
        <f t="shared" si="60"/>
        <v>0</v>
      </c>
      <c r="AH277" s="156">
        <f t="shared" si="60"/>
        <v>0</v>
      </c>
      <c r="AI277" s="156">
        <f t="shared" si="60"/>
        <v>0</v>
      </c>
      <c r="AJ277" s="156">
        <f t="shared" si="60"/>
        <v>0</v>
      </c>
      <c r="AK277" s="157">
        <f t="shared" si="60"/>
        <v>0</v>
      </c>
      <c r="AL277" s="31"/>
      <c r="AM277" s="31"/>
      <c r="AN277" s="31">
        <v>41</v>
      </c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  <c r="BA277" s="31"/>
      <c r="BB277" s="31"/>
      <c r="BC277" s="31"/>
      <c r="BD277" s="31"/>
      <c r="BE277" s="31"/>
      <c r="BF277" s="31"/>
      <c r="BG277" s="31"/>
      <c r="BH277" s="31"/>
      <c r="BI277" s="31"/>
    </row>
    <row r="278" spans="1:61" x14ac:dyDescent="0.2">
      <c r="A278" s="120" t="s">
        <v>70</v>
      </c>
      <c r="B278" s="151"/>
      <c r="C278" s="151"/>
      <c r="D278" s="151"/>
      <c r="E278" s="151"/>
      <c r="F278" s="151"/>
      <c r="G278" s="151"/>
      <c r="H278" s="151"/>
      <c r="I278" s="151"/>
      <c r="J278" s="151"/>
      <c r="K278" s="151"/>
      <c r="L278" s="151"/>
      <c r="M278" s="151"/>
      <c r="N278" s="151"/>
      <c r="O278" s="151"/>
      <c r="P278" s="151"/>
      <c r="Q278" s="151"/>
      <c r="R278" s="151"/>
      <c r="S278" s="151"/>
      <c r="T278" s="151"/>
      <c r="U278" s="151"/>
      <c r="V278" s="151"/>
      <c r="W278" s="151"/>
      <c r="X278" s="151"/>
      <c r="Y278" s="151"/>
      <c r="Z278" s="151"/>
      <c r="AA278" s="151"/>
      <c r="AB278" s="151"/>
      <c r="AC278" s="151"/>
      <c r="AD278" s="151"/>
      <c r="AE278" s="151"/>
      <c r="AF278" s="151"/>
      <c r="AG278" s="151"/>
      <c r="AH278" s="151"/>
      <c r="AI278" s="151"/>
      <c r="AJ278" s="151"/>
      <c r="AK278" s="46"/>
      <c r="AL278" s="31"/>
      <c r="AM278" s="31"/>
      <c r="AN278" s="31">
        <v>228</v>
      </c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  <c r="BA278" s="31"/>
      <c r="BB278" s="31"/>
      <c r="BC278" s="31"/>
      <c r="BD278" s="31"/>
      <c r="BE278" s="31"/>
      <c r="BF278" s="31"/>
      <c r="BG278" s="31"/>
      <c r="BH278" s="31"/>
      <c r="BI278" s="31"/>
    </row>
    <row r="279" spans="1:61" x14ac:dyDescent="0.2">
      <c r="A279" s="110" t="s">
        <v>92</v>
      </c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153"/>
      <c r="N279" s="153"/>
      <c r="O279" s="153"/>
      <c r="P279" s="153"/>
      <c r="Q279" s="153"/>
      <c r="R279" s="153"/>
      <c r="S279" s="153"/>
      <c r="T279" s="153"/>
      <c r="U279" s="153"/>
      <c r="V279" s="153"/>
      <c r="W279" s="153"/>
      <c r="X279" s="153"/>
      <c r="Y279" s="153"/>
      <c r="Z279" s="153"/>
      <c r="AA279" s="153"/>
      <c r="AB279" s="153"/>
      <c r="AC279" s="153"/>
      <c r="AD279" s="153"/>
      <c r="AE279" s="153"/>
      <c r="AF279" s="153"/>
      <c r="AG279" s="153"/>
      <c r="AH279" s="153"/>
      <c r="AI279" s="153"/>
      <c r="AJ279" s="153"/>
      <c r="AK279" s="46">
        <f>SUM(B279:AJ279)</f>
        <v>0</v>
      </c>
      <c r="AL279" s="31"/>
      <c r="AM279" s="31"/>
      <c r="AN279" s="31">
        <v>368</v>
      </c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  <c r="BA279" s="31"/>
      <c r="BB279" s="31"/>
      <c r="BC279" s="31"/>
      <c r="BD279" s="31"/>
      <c r="BE279" s="31"/>
      <c r="BF279" s="31"/>
      <c r="BG279" s="31"/>
      <c r="BH279" s="31"/>
      <c r="BI279" s="31"/>
    </row>
    <row r="280" spans="1:61" x14ac:dyDescent="0.2">
      <c r="A280" s="110" t="s">
        <v>93</v>
      </c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153"/>
      <c r="N280" s="153"/>
      <c r="O280" s="153"/>
      <c r="P280" s="153"/>
      <c r="Q280" s="153"/>
      <c r="R280" s="153"/>
      <c r="S280" s="153"/>
      <c r="T280" s="153"/>
      <c r="U280" s="153"/>
      <c r="V280" s="153"/>
      <c r="W280" s="153"/>
      <c r="X280" s="153"/>
      <c r="Y280" s="153"/>
      <c r="Z280" s="153"/>
      <c r="AA280" s="153"/>
      <c r="AB280" s="153"/>
      <c r="AC280" s="153"/>
      <c r="AD280" s="153"/>
      <c r="AE280" s="153"/>
      <c r="AF280" s="153"/>
      <c r="AG280" s="153"/>
      <c r="AH280" s="153"/>
      <c r="AI280" s="153"/>
      <c r="AJ280" s="153"/>
      <c r="AK280" s="46">
        <f>SUM(B280:AJ280)</f>
        <v>0</v>
      </c>
      <c r="AL280" s="31"/>
      <c r="AM280" s="31"/>
      <c r="AN280" s="31">
        <v>23</v>
      </c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  <c r="BA280" s="31"/>
      <c r="BB280" s="31"/>
      <c r="BC280" s="31"/>
      <c r="BD280" s="31"/>
      <c r="BE280" s="31"/>
      <c r="BF280" s="31"/>
      <c r="BG280" s="31"/>
      <c r="BH280" s="31"/>
      <c r="BI280" s="31"/>
    </row>
    <row r="281" spans="1:61" x14ac:dyDescent="0.2">
      <c r="A281" s="110" t="s">
        <v>1</v>
      </c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153"/>
      <c r="Q281" s="44"/>
      <c r="R281" s="44"/>
      <c r="S281" s="44"/>
      <c r="T281" s="44"/>
      <c r="U281" s="44"/>
      <c r="V281" s="153"/>
      <c r="W281" s="44"/>
      <c r="X281" s="44"/>
      <c r="Y281" s="153"/>
      <c r="Z281" s="153"/>
      <c r="AA281" s="153"/>
      <c r="AB281" s="44"/>
      <c r="AC281" s="44"/>
      <c r="AD281" s="44"/>
      <c r="AE281" s="44"/>
      <c r="AF281" s="153"/>
      <c r="AG281" s="153"/>
      <c r="AH281" s="153"/>
      <c r="AI281" s="153"/>
      <c r="AJ281" s="153"/>
      <c r="AK281" s="46">
        <f>SUM(B281:AJ281)</f>
        <v>0</v>
      </c>
      <c r="AL281" s="31"/>
      <c r="AM281" s="31"/>
      <c r="AN281" s="31">
        <v>45</v>
      </c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  <c r="BA281" s="31"/>
      <c r="BB281" s="31"/>
      <c r="BC281" s="31"/>
      <c r="BD281" s="31"/>
      <c r="BE281" s="31"/>
      <c r="BF281" s="31"/>
      <c r="BG281" s="31"/>
      <c r="BH281" s="31"/>
      <c r="BI281" s="31"/>
    </row>
    <row r="282" spans="1:61" x14ac:dyDescent="0.2">
      <c r="A282" s="154" t="s">
        <v>7</v>
      </c>
      <c r="B282" s="155">
        <f t="shared" ref="B282:K282" si="61">B279+B280+B281</f>
        <v>0</v>
      </c>
      <c r="C282" s="155">
        <f t="shared" si="61"/>
        <v>0</v>
      </c>
      <c r="D282" s="155">
        <f t="shared" si="61"/>
        <v>0</v>
      </c>
      <c r="E282" s="155">
        <f t="shared" si="61"/>
        <v>0</v>
      </c>
      <c r="F282" s="155">
        <f t="shared" si="61"/>
        <v>0</v>
      </c>
      <c r="G282" s="155">
        <f t="shared" si="61"/>
        <v>0</v>
      </c>
      <c r="H282" s="155">
        <f t="shared" si="61"/>
        <v>0</v>
      </c>
      <c r="I282" s="156">
        <f t="shared" si="61"/>
        <v>0</v>
      </c>
      <c r="J282" s="156">
        <f t="shared" si="61"/>
        <v>0</v>
      </c>
      <c r="K282" s="156">
        <f t="shared" si="61"/>
        <v>0</v>
      </c>
      <c r="L282" s="155">
        <f t="shared" ref="L282:AK282" si="62">L279+L280+L281</f>
        <v>0</v>
      </c>
      <c r="M282" s="156">
        <f t="shared" si="62"/>
        <v>0</v>
      </c>
      <c r="N282" s="156">
        <f t="shared" si="62"/>
        <v>0</v>
      </c>
      <c r="O282" s="156">
        <f t="shared" si="62"/>
        <v>0</v>
      </c>
      <c r="P282" s="156">
        <f t="shared" si="62"/>
        <v>0</v>
      </c>
      <c r="Q282" s="156">
        <f t="shared" si="62"/>
        <v>0</v>
      </c>
      <c r="R282" s="156">
        <f t="shared" si="62"/>
        <v>0</v>
      </c>
      <c r="S282" s="156">
        <f t="shared" si="62"/>
        <v>0</v>
      </c>
      <c r="T282" s="156">
        <f t="shared" si="62"/>
        <v>0</v>
      </c>
      <c r="U282" s="156">
        <f t="shared" si="62"/>
        <v>0</v>
      </c>
      <c r="V282" s="156">
        <f t="shared" si="62"/>
        <v>0</v>
      </c>
      <c r="W282" s="156">
        <f t="shared" si="62"/>
        <v>0</v>
      </c>
      <c r="X282" s="156">
        <f t="shared" si="62"/>
        <v>0</v>
      </c>
      <c r="Y282" s="156">
        <f t="shared" si="62"/>
        <v>0</v>
      </c>
      <c r="Z282" s="156">
        <f t="shared" si="62"/>
        <v>0</v>
      </c>
      <c r="AA282" s="156">
        <f t="shared" si="62"/>
        <v>0</v>
      </c>
      <c r="AB282" s="156">
        <f t="shared" si="62"/>
        <v>0</v>
      </c>
      <c r="AC282" s="156">
        <f t="shared" si="62"/>
        <v>0</v>
      </c>
      <c r="AD282" s="156">
        <f t="shared" si="62"/>
        <v>0</v>
      </c>
      <c r="AE282" s="156">
        <f t="shared" si="62"/>
        <v>0</v>
      </c>
      <c r="AF282" s="156">
        <f t="shared" si="62"/>
        <v>0</v>
      </c>
      <c r="AG282" s="156">
        <f t="shared" si="62"/>
        <v>0</v>
      </c>
      <c r="AH282" s="156">
        <f t="shared" si="62"/>
        <v>0</v>
      </c>
      <c r="AI282" s="156">
        <f t="shared" si="62"/>
        <v>0</v>
      </c>
      <c r="AJ282" s="156">
        <f t="shared" si="62"/>
        <v>0</v>
      </c>
      <c r="AK282" s="157">
        <f t="shared" si="62"/>
        <v>0</v>
      </c>
      <c r="AL282" s="31"/>
      <c r="AM282" s="31"/>
      <c r="AN282" s="31">
        <v>14</v>
      </c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  <c r="BC282" s="31"/>
      <c r="BD282" s="31"/>
      <c r="BE282" s="31"/>
      <c r="BF282" s="31"/>
      <c r="BG282" s="31"/>
      <c r="BH282" s="31"/>
      <c r="BI282" s="31"/>
    </row>
    <row r="283" spans="1:61" x14ac:dyDescent="0.2">
      <c r="A283" s="120" t="s">
        <v>71</v>
      </c>
      <c r="B283" s="45" t="s">
        <v>138</v>
      </c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158"/>
      <c r="N283" s="158"/>
      <c r="O283" s="158"/>
      <c r="P283" s="158"/>
      <c r="Q283" s="158"/>
      <c r="R283" s="158"/>
      <c r="S283" s="158"/>
      <c r="T283" s="158"/>
      <c r="U283" s="158"/>
      <c r="V283" s="158"/>
      <c r="W283" s="158"/>
      <c r="X283" s="158"/>
      <c r="Y283" s="158"/>
      <c r="Z283" s="158"/>
      <c r="AA283" s="158"/>
      <c r="AB283" s="158"/>
      <c r="AC283" s="158"/>
      <c r="AD283" s="158"/>
      <c r="AE283" s="158"/>
      <c r="AF283" s="158"/>
      <c r="AG283" s="158"/>
      <c r="AH283" s="158"/>
      <c r="AI283" s="158"/>
      <c r="AJ283" s="158"/>
      <c r="AK283" s="46"/>
      <c r="AL283" s="31"/>
      <c r="AM283" s="31"/>
      <c r="AN283" s="31">
        <v>14</v>
      </c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1"/>
      <c r="BC283" s="31"/>
      <c r="BD283" s="31"/>
      <c r="BE283" s="31"/>
      <c r="BF283" s="31"/>
      <c r="BG283" s="31"/>
      <c r="BH283" s="31"/>
      <c r="BI283" s="31"/>
    </row>
    <row r="284" spans="1:61" x14ac:dyDescent="0.2">
      <c r="A284" s="110" t="s">
        <v>92</v>
      </c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153"/>
      <c r="N284" s="153"/>
      <c r="O284" s="153"/>
      <c r="P284" s="153"/>
      <c r="Q284" s="153"/>
      <c r="R284" s="153"/>
      <c r="S284" s="153"/>
      <c r="T284" s="153"/>
      <c r="U284" s="153"/>
      <c r="V284" s="153"/>
      <c r="W284" s="153"/>
      <c r="X284" s="153"/>
      <c r="Y284" s="153"/>
      <c r="Z284" s="153"/>
      <c r="AA284" s="153"/>
      <c r="AB284" s="153"/>
      <c r="AC284" s="153"/>
      <c r="AD284" s="153"/>
      <c r="AE284" s="153"/>
      <c r="AF284" s="153"/>
      <c r="AG284" s="153"/>
      <c r="AH284" s="153"/>
      <c r="AI284" s="153"/>
      <c r="AJ284" s="153"/>
      <c r="AK284" s="46">
        <f>SUM(B284:AJ284)</f>
        <v>0</v>
      </c>
      <c r="AL284" s="31"/>
      <c r="AM284" s="31"/>
      <c r="AN284" s="31">
        <v>64</v>
      </c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  <c r="BC284" s="31"/>
      <c r="BD284" s="31"/>
      <c r="BE284" s="31"/>
      <c r="BF284" s="31"/>
      <c r="BG284" s="31"/>
      <c r="BH284" s="31"/>
      <c r="BI284" s="31"/>
    </row>
    <row r="285" spans="1:61" x14ac:dyDescent="0.2">
      <c r="A285" s="110" t="s">
        <v>93</v>
      </c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153"/>
      <c r="N285" s="153"/>
      <c r="O285" s="153"/>
      <c r="P285" s="153"/>
      <c r="Q285" s="153"/>
      <c r="R285" s="153"/>
      <c r="S285" s="153"/>
      <c r="T285" s="153"/>
      <c r="U285" s="153"/>
      <c r="V285" s="153"/>
      <c r="W285" s="153"/>
      <c r="X285" s="153"/>
      <c r="Y285" s="153"/>
      <c r="Z285" s="153"/>
      <c r="AA285" s="153"/>
      <c r="AB285" s="153"/>
      <c r="AC285" s="153"/>
      <c r="AD285" s="153"/>
      <c r="AE285" s="153"/>
      <c r="AF285" s="153"/>
      <c r="AG285" s="153"/>
      <c r="AH285" s="153"/>
      <c r="AI285" s="153"/>
      <c r="AJ285" s="153"/>
      <c r="AK285" s="46">
        <f>SUM(B285:AJ285)</f>
        <v>0</v>
      </c>
      <c r="AL285" s="31"/>
      <c r="AM285" s="31"/>
      <c r="AN285" s="31">
        <v>80</v>
      </c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  <c r="BA285" s="31"/>
      <c r="BB285" s="31"/>
      <c r="BC285" s="31"/>
      <c r="BD285" s="31"/>
      <c r="BE285" s="31"/>
      <c r="BF285" s="31"/>
      <c r="BG285" s="31"/>
      <c r="BH285" s="31"/>
      <c r="BI285" s="31"/>
    </row>
    <row r="286" spans="1:61" x14ac:dyDescent="0.2">
      <c r="A286" s="110" t="s">
        <v>1</v>
      </c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153"/>
      <c r="N286" s="153"/>
      <c r="O286" s="153"/>
      <c r="P286" s="153"/>
      <c r="Q286" s="153"/>
      <c r="R286" s="153"/>
      <c r="S286" s="153"/>
      <c r="T286" s="153"/>
      <c r="U286" s="153"/>
      <c r="V286" s="153"/>
      <c r="W286" s="153"/>
      <c r="X286" s="153"/>
      <c r="Y286" s="153"/>
      <c r="Z286" s="153"/>
      <c r="AA286" s="153"/>
      <c r="AB286" s="153"/>
      <c r="AC286" s="153"/>
      <c r="AD286" s="153"/>
      <c r="AE286" s="153"/>
      <c r="AF286" s="153"/>
      <c r="AG286" s="153"/>
      <c r="AH286" s="153"/>
      <c r="AI286" s="153"/>
      <c r="AJ286" s="153"/>
      <c r="AK286" s="46">
        <f>SUM(B286:AJ286)</f>
        <v>0</v>
      </c>
      <c r="AL286" s="31"/>
      <c r="AM286" s="31"/>
      <c r="AN286" s="31">
        <v>28</v>
      </c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  <c r="BA286" s="31"/>
      <c r="BB286" s="31"/>
      <c r="BC286" s="31"/>
      <c r="BD286" s="31"/>
      <c r="BE286" s="31"/>
      <c r="BF286" s="31"/>
      <c r="BG286" s="31"/>
      <c r="BH286" s="31"/>
      <c r="BI286" s="31"/>
    </row>
    <row r="287" spans="1:61" x14ac:dyDescent="0.2">
      <c r="A287" s="154" t="s">
        <v>7</v>
      </c>
      <c r="B287" s="155">
        <f t="shared" ref="B287:K287" si="63">B284+B285+B286</f>
        <v>0</v>
      </c>
      <c r="C287" s="155">
        <f t="shared" si="63"/>
        <v>0</v>
      </c>
      <c r="D287" s="155">
        <f t="shared" si="63"/>
        <v>0</v>
      </c>
      <c r="E287" s="155">
        <f t="shared" si="63"/>
        <v>0</v>
      </c>
      <c r="F287" s="155">
        <f t="shared" si="63"/>
        <v>0</v>
      </c>
      <c r="G287" s="155">
        <f t="shared" si="63"/>
        <v>0</v>
      </c>
      <c r="H287" s="155">
        <f t="shared" si="63"/>
        <v>0</v>
      </c>
      <c r="I287" s="155">
        <f t="shared" si="63"/>
        <v>0</v>
      </c>
      <c r="J287" s="155">
        <f t="shared" si="63"/>
        <v>0</v>
      </c>
      <c r="K287" s="156">
        <f t="shared" si="63"/>
        <v>0</v>
      </c>
      <c r="L287" s="155">
        <f t="shared" ref="L287:AK287" si="64">L284+L285+L286</f>
        <v>0</v>
      </c>
      <c r="M287" s="156">
        <f t="shared" si="64"/>
        <v>0</v>
      </c>
      <c r="N287" s="156">
        <f t="shared" si="64"/>
        <v>0</v>
      </c>
      <c r="O287" s="156">
        <f t="shared" si="64"/>
        <v>0</v>
      </c>
      <c r="P287" s="156">
        <f t="shared" si="64"/>
        <v>0</v>
      </c>
      <c r="Q287" s="156">
        <f t="shared" si="64"/>
        <v>0</v>
      </c>
      <c r="R287" s="156">
        <f t="shared" si="64"/>
        <v>0</v>
      </c>
      <c r="S287" s="156">
        <f t="shared" si="64"/>
        <v>0</v>
      </c>
      <c r="T287" s="156">
        <f t="shared" si="64"/>
        <v>0</v>
      </c>
      <c r="U287" s="156">
        <f t="shared" si="64"/>
        <v>0</v>
      </c>
      <c r="V287" s="156">
        <f t="shared" si="64"/>
        <v>0</v>
      </c>
      <c r="W287" s="156">
        <f t="shared" si="64"/>
        <v>0</v>
      </c>
      <c r="X287" s="156">
        <f t="shared" si="64"/>
        <v>0</v>
      </c>
      <c r="Y287" s="156">
        <f t="shared" si="64"/>
        <v>0</v>
      </c>
      <c r="Z287" s="156">
        <f t="shared" si="64"/>
        <v>0</v>
      </c>
      <c r="AA287" s="156">
        <f t="shared" si="64"/>
        <v>0</v>
      </c>
      <c r="AB287" s="156">
        <f t="shared" si="64"/>
        <v>0</v>
      </c>
      <c r="AC287" s="156">
        <f t="shared" si="64"/>
        <v>0</v>
      </c>
      <c r="AD287" s="156">
        <f t="shared" si="64"/>
        <v>0</v>
      </c>
      <c r="AE287" s="156">
        <f t="shared" si="64"/>
        <v>0</v>
      </c>
      <c r="AF287" s="156">
        <f t="shared" si="64"/>
        <v>0</v>
      </c>
      <c r="AG287" s="156">
        <f t="shared" si="64"/>
        <v>0</v>
      </c>
      <c r="AH287" s="156">
        <f t="shared" si="64"/>
        <v>0</v>
      </c>
      <c r="AI287" s="156">
        <f t="shared" si="64"/>
        <v>0</v>
      </c>
      <c r="AJ287" s="156">
        <f t="shared" si="64"/>
        <v>0</v>
      </c>
      <c r="AK287" s="157">
        <f t="shared" si="64"/>
        <v>0</v>
      </c>
      <c r="AL287" s="31"/>
      <c r="AM287" s="31"/>
      <c r="AN287" s="31">
        <v>32</v>
      </c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  <c r="BA287" s="31"/>
      <c r="BB287" s="31"/>
      <c r="BC287" s="31"/>
      <c r="BD287" s="31"/>
      <c r="BE287" s="31"/>
      <c r="BF287" s="31"/>
      <c r="BG287" s="31"/>
      <c r="BH287" s="31"/>
      <c r="BI287" s="31"/>
    </row>
    <row r="288" spans="1:61" x14ac:dyDescent="0.2">
      <c r="A288" s="120" t="s">
        <v>72</v>
      </c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158"/>
      <c r="N288" s="158"/>
      <c r="O288" s="158"/>
      <c r="P288" s="158"/>
      <c r="Q288" s="158"/>
      <c r="R288" s="158"/>
      <c r="S288" s="158"/>
      <c r="T288" s="158"/>
      <c r="U288" s="158"/>
      <c r="V288" s="158"/>
      <c r="W288" s="158"/>
      <c r="X288" s="158"/>
      <c r="Y288" s="158"/>
      <c r="Z288" s="158"/>
      <c r="AA288" s="158"/>
      <c r="AB288" s="158"/>
      <c r="AC288" s="158"/>
      <c r="AD288" s="158"/>
      <c r="AE288" s="158"/>
      <c r="AF288" s="158"/>
      <c r="AG288" s="158"/>
      <c r="AH288" s="158"/>
      <c r="AI288" s="158"/>
      <c r="AJ288" s="158"/>
      <c r="AK288" s="46"/>
      <c r="AL288" s="31"/>
      <c r="AM288" s="31"/>
      <c r="AN288" s="31">
        <v>11</v>
      </c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  <c r="BA288" s="31"/>
      <c r="BB288" s="31"/>
      <c r="BC288" s="31"/>
      <c r="BD288" s="31"/>
      <c r="BE288" s="31"/>
      <c r="BF288" s="31"/>
      <c r="BG288" s="31"/>
      <c r="BH288" s="31"/>
      <c r="BI288" s="31"/>
    </row>
    <row r="289" spans="1:61" x14ac:dyDescent="0.2">
      <c r="A289" s="110" t="s">
        <v>92</v>
      </c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153"/>
      <c r="N289" s="153"/>
      <c r="O289" s="153"/>
      <c r="P289" s="153"/>
      <c r="Q289" s="153"/>
      <c r="R289" s="153"/>
      <c r="S289" s="153"/>
      <c r="T289" s="153"/>
      <c r="U289" s="153"/>
      <c r="V289" s="153"/>
      <c r="W289" s="153"/>
      <c r="X289" s="153"/>
      <c r="Y289" s="153"/>
      <c r="Z289" s="153"/>
      <c r="AA289" s="153"/>
      <c r="AB289" s="153"/>
      <c r="AC289" s="153"/>
      <c r="AD289" s="153"/>
      <c r="AE289" s="153"/>
      <c r="AF289" s="153"/>
      <c r="AG289" s="153"/>
      <c r="AH289" s="153"/>
      <c r="AI289" s="153"/>
      <c r="AJ289" s="153"/>
      <c r="AK289" s="46">
        <f>SUM(B289:AJ289)</f>
        <v>0</v>
      </c>
      <c r="AL289" s="31"/>
      <c r="AM289" s="31"/>
      <c r="AN289" s="31">
        <v>476</v>
      </c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  <c r="BA289" s="31"/>
      <c r="BB289" s="31"/>
      <c r="BC289" s="31"/>
      <c r="BD289" s="31"/>
      <c r="BE289" s="31"/>
      <c r="BF289" s="31"/>
      <c r="BG289" s="31"/>
      <c r="BH289" s="31"/>
      <c r="BI289" s="31"/>
    </row>
    <row r="290" spans="1:61" x14ac:dyDescent="0.2">
      <c r="A290" s="110" t="s">
        <v>93</v>
      </c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153"/>
      <c r="N290" s="153"/>
      <c r="O290" s="153"/>
      <c r="P290" s="153"/>
      <c r="Q290" s="153"/>
      <c r="R290" s="153"/>
      <c r="S290" s="153"/>
      <c r="T290" s="153"/>
      <c r="U290" s="153"/>
      <c r="V290" s="153"/>
      <c r="W290" s="153"/>
      <c r="X290" s="153"/>
      <c r="Y290" s="153"/>
      <c r="Z290" s="153"/>
      <c r="AA290" s="153"/>
      <c r="AB290" s="153"/>
      <c r="AC290" s="153"/>
      <c r="AD290" s="153"/>
      <c r="AE290" s="153"/>
      <c r="AF290" s="153"/>
      <c r="AG290" s="153"/>
      <c r="AH290" s="153"/>
      <c r="AI290" s="153"/>
      <c r="AJ290" s="153"/>
      <c r="AK290" s="46">
        <f>SUM(B290:AJ290)</f>
        <v>0</v>
      </c>
      <c r="AL290" s="31"/>
      <c r="AM290" s="31"/>
      <c r="AN290" s="31">
        <v>390</v>
      </c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  <c r="BA290" s="31"/>
      <c r="BB290" s="31"/>
      <c r="BC290" s="31"/>
      <c r="BD290" s="31"/>
      <c r="BE290" s="31"/>
      <c r="BF290" s="31"/>
      <c r="BG290" s="31"/>
      <c r="BH290" s="31"/>
      <c r="BI290" s="31"/>
    </row>
    <row r="291" spans="1:61" x14ac:dyDescent="0.2">
      <c r="A291" s="110" t="s">
        <v>1</v>
      </c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153"/>
      <c r="Q291" s="44"/>
      <c r="R291" s="44"/>
      <c r="S291" s="44"/>
      <c r="T291" s="153"/>
      <c r="U291" s="153"/>
      <c r="V291" s="153"/>
      <c r="W291" s="153"/>
      <c r="X291" s="153"/>
      <c r="Y291" s="153"/>
      <c r="Z291" s="153"/>
      <c r="AA291" s="153"/>
      <c r="AB291" s="153"/>
      <c r="AC291" s="44"/>
      <c r="AD291" s="153"/>
      <c r="AE291" s="153"/>
      <c r="AF291" s="153"/>
      <c r="AG291" s="153"/>
      <c r="AH291" s="153"/>
      <c r="AI291" s="153"/>
      <c r="AJ291" s="153"/>
      <c r="AK291" s="46">
        <f>SUM(B291:AJ291)</f>
        <v>0</v>
      </c>
      <c r="AL291" s="31"/>
      <c r="AM291" s="31"/>
      <c r="AN291" s="31">
        <v>4</v>
      </c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  <c r="BA291" s="31"/>
      <c r="BB291" s="31"/>
      <c r="BC291" s="31"/>
      <c r="BD291" s="31"/>
      <c r="BE291" s="31"/>
      <c r="BF291" s="31"/>
      <c r="BG291" s="31"/>
      <c r="BH291" s="31"/>
      <c r="BI291" s="31"/>
    </row>
    <row r="292" spans="1:61" x14ac:dyDescent="0.2">
      <c r="A292" s="154" t="s">
        <v>7</v>
      </c>
      <c r="B292" s="155">
        <f>SUM(B289:B291)</f>
        <v>0</v>
      </c>
      <c r="C292" s="155">
        <f t="shared" ref="C292:H292" si="65">SUM(C289:C291)</f>
        <v>0</v>
      </c>
      <c r="D292" s="155">
        <f t="shared" si="65"/>
        <v>0</v>
      </c>
      <c r="E292" s="155">
        <f t="shared" si="65"/>
        <v>0</v>
      </c>
      <c r="F292" s="155">
        <f t="shared" si="65"/>
        <v>0</v>
      </c>
      <c r="G292" s="155">
        <f t="shared" si="65"/>
        <v>0</v>
      </c>
      <c r="H292" s="155">
        <f t="shared" si="65"/>
        <v>0</v>
      </c>
      <c r="I292" s="156">
        <f>SUM(I289:I291)</f>
        <v>0</v>
      </c>
      <c r="J292" s="156">
        <f>SUM(J289:J291)</f>
        <v>0</v>
      </c>
      <c r="K292" s="156">
        <f>SUM(K289:K291)</f>
        <v>0</v>
      </c>
      <c r="L292" s="156">
        <f>SUM(L289:L291)</f>
        <v>0</v>
      </c>
      <c r="M292" s="156">
        <f t="shared" ref="M292:AJ292" si="66">M289+M290+M291</f>
        <v>0</v>
      </c>
      <c r="N292" s="156">
        <f t="shared" si="66"/>
        <v>0</v>
      </c>
      <c r="O292" s="156">
        <f t="shared" si="66"/>
        <v>0</v>
      </c>
      <c r="P292" s="156">
        <f t="shared" si="66"/>
        <v>0</v>
      </c>
      <c r="Q292" s="156">
        <f t="shared" si="66"/>
        <v>0</v>
      </c>
      <c r="R292" s="156">
        <f t="shared" si="66"/>
        <v>0</v>
      </c>
      <c r="S292" s="156">
        <f t="shared" si="66"/>
        <v>0</v>
      </c>
      <c r="T292" s="156">
        <f t="shared" si="66"/>
        <v>0</v>
      </c>
      <c r="U292" s="156">
        <f t="shared" si="66"/>
        <v>0</v>
      </c>
      <c r="V292" s="156">
        <f t="shared" si="66"/>
        <v>0</v>
      </c>
      <c r="W292" s="156">
        <f t="shared" si="66"/>
        <v>0</v>
      </c>
      <c r="X292" s="156">
        <f t="shared" si="66"/>
        <v>0</v>
      </c>
      <c r="Y292" s="156">
        <f t="shared" si="66"/>
        <v>0</v>
      </c>
      <c r="Z292" s="156">
        <f t="shared" si="66"/>
        <v>0</v>
      </c>
      <c r="AA292" s="156">
        <f t="shared" si="66"/>
        <v>0</v>
      </c>
      <c r="AB292" s="156">
        <f t="shared" si="66"/>
        <v>0</v>
      </c>
      <c r="AC292" s="156">
        <f t="shared" si="66"/>
        <v>0</v>
      </c>
      <c r="AD292" s="156">
        <f t="shared" si="66"/>
        <v>0</v>
      </c>
      <c r="AE292" s="156">
        <f t="shared" si="66"/>
        <v>0</v>
      </c>
      <c r="AF292" s="156">
        <f t="shared" si="66"/>
        <v>0</v>
      </c>
      <c r="AG292" s="156">
        <f t="shared" si="66"/>
        <v>0</v>
      </c>
      <c r="AH292" s="156">
        <f t="shared" si="66"/>
        <v>0</v>
      </c>
      <c r="AI292" s="156">
        <f t="shared" si="66"/>
        <v>0</v>
      </c>
      <c r="AJ292" s="156">
        <f t="shared" si="66"/>
        <v>0</v>
      </c>
      <c r="AK292" s="157">
        <f>AK290+AK289+AK291</f>
        <v>0</v>
      </c>
      <c r="AL292" s="31"/>
      <c r="AM292" s="31"/>
      <c r="AN292" s="31">
        <v>16</v>
      </c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1"/>
      <c r="BB292" s="31"/>
      <c r="BC292" s="31"/>
      <c r="BD292" s="31"/>
      <c r="BE292" s="31"/>
      <c r="BF292" s="31"/>
      <c r="BG292" s="31"/>
      <c r="BH292" s="31"/>
      <c r="BI292" s="31"/>
    </row>
    <row r="293" spans="1:61" x14ac:dyDescent="0.2">
      <c r="A293" s="120" t="s">
        <v>100</v>
      </c>
      <c r="B293" s="158"/>
      <c r="C293" s="158"/>
      <c r="D293" s="158"/>
      <c r="E293" s="158"/>
      <c r="F293" s="158"/>
      <c r="G293" s="158"/>
      <c r="H293" s="158"/>
      <c r="I293" s="158"/>
      <c r="J293" s="158"/>
      <c r="K293" s="158"/>
      <c r="L293" s="158"/>
      <c r="M293" s="158"/>
      <c r="N293" s="158"/>
      <c r="O293" s="158"/>
      <c r="P293" s="158"/>
      <c r="Q293" s="158"/>
      <c r="R293" s="158"/>
      <c r="S293" s="158"/>
      <c r="T293" s="158"/>
      <c r="U293" s="158"/>
      <c r="V293" s="158"/>
      <c r="W293" s="158"/>
      <c r="X293" s="158"/>
      <c r="Y293" s="158"/>
      <c r="Z293" s="158"/>
      <c r="AA293" s="158"/>
      <c r="AB293" s="158"/>
      <c r="AC293" s="158"/>
      <c r="AD293" s="158"/>
      <c r="AE293" s="158"/>
      <c r="AF293" s="158"/>
      <c r="AG293" s="158"/>
      <c r="AH293" s="158"/>
      <c r="AI293" s="158"/>
      <c r="AJ293" s="158"/>
      <c r="AK293" s="46"/>
      <c r="AL293" s="31"/>
      <c r="AM293" s="31"/>
      <c r="AN293" s="31">
        <v>48</v>
      </c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  <c r="BA293" s="31"/>
      <c r="BB293" s="31"/>
      <c r="BC293" s="31"/>
      <c r="BD293" s="31"/>
      <c r="BE293" s="31"/>
      <c r="BF293" s="31"/>
      <c r="BG293" s="31"/>
      <c r="BH293" s="31"/>
      <c r="BI293" s="31"/>
    </row>
    <row r="294" spans="1:61" x14ac:dyDescent="0.2">
      <c r="A294" s="110" t="s">
        <v>92</v>
      </c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153"/>
      <c r="N294" s="153"/>
      <c r="O294" s="153"/>
      <c r="P294" s="153"/>
      <c r="Q294" s="153"/>
      <c r="R294" s="153"/>
      <c r="S294" s="153"/>
      <c r="T294" s="153"/>
      <c r="U294" s="153"/>
      <c r="V294" s="153"/>
      <c r="W294" s="153"/>
      <c r="X294" s="153"/>
      <c r="Y294" s="153"/>
      <c r="Z294" s="153"/>
      <c r="AA294" s="153"/>
      <c r="AB294" s="153"/>
      <c r="AC294" s="153"/>
      <c r="AD294" s="153"/>
      <c r="AE294" s="153"/>
      <c r="AF294" s="153"/>
      <c r="AG294" s="153"/>
      <c r="AH294" s="153"/>
      <c r="AI294" s="153"/>
      <c r="AJ294" s="153"/>
      <c r="AK294" s="46">
        <f>SUM(B294:AJ294)</f>
        <v>0</v>
      </c>
      <c r="AL294" s="31"/>
      <c r="AM294" s="31"/>
      <c r="AN294" s="31">
        <v>67</v>
      </c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  <c r="BA294" s="31"/>
      <c r="BB294" s="31"/>
      <c r="BC294" s="31"/>
      <c r="BD294" s="31"/>
      <c r="BE294" s="31"/>
      <c r="BF294" s="31"/>
      <c r="BG294" s="31"/>
      <c r="BH294" s="31"/>
      <c r="BI294" s="31"/>
    </row>
    <row r="295" spans="1:61" x14ac:dyDescent="0.2">
      <c r="A295" s="110" t="s">
        <v>93</v>
      </c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153"/>
      <c r="Q295" s="44"/>
      <c r="R295" s="44"/>
      <c r="S295" s="44"/>
      <c r="T295" s="153"/>
      <c r="U295" s="44"/>
      <c r="V295" s="153"/>
      <c r="W295" s="44"/>
      <c r="X295" s="44"/>
      <c r="Y295" s="44"/>
      <c r="Z295" s="153"/>
      <c r="AA295" s="153"/>
      <c r="AB295" s="153"/>
      <c r="AC295" s="44"/>
      <c r="AD295" s="153"/>
      <c r="AE295" s="44"/>
      <c r="AF295" s="153"/>
      <c r="AG295" s="153"/>
      <c r="AH295" s="153"/>
      <c r="AI295" s="153"/>
      <c r="AJ295" s="153"/>
      <c r="AK295" s="46">
        <f>SUM(B295:AJ295)</f>
        <v>0</v>
      </c>
      <c r="AL295" s="31"/>
      <c r="AM295" s="31"/>
      <c r="AN295" s="31">
        <v>4701</v>
      </c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  <c r="BA295" s="31"/>
      <c r="BB295" s="31"/>
      <c r="BC295" s="31"/>
      <c r="BD295" s="31"/>
      <c r="BE295" s="31"/>
      <c r="BF295" s="31"/>
      <c r="BG295" s="31"/>
      <c r="BH295" s="31"/>
      <c r="BI295" s="31"/>
    </row>
    <row r="296" spans="1:61" x14ac:dyDescent="0.2">
      <c r="A296" s="110" t="s">
        <v>1</v>
      </c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153"/>
      <c r="N296" s="153"/>
      <c r="O296" s="153"/>
      <c r="P296" s="153"/>
      <c r="Q296" s="153"/>
      <c r="R296" s="153"/>
      <c r="S296" s="153"/>
      <c r="T296" s="153"/>
      <c r="U296" s="153"/>
      <c r="V296" s="153"/>
      <c r="W296" s="153"/>
      <c r="X296" s="153"/>
      <c r="Y296" s="153"/>
      <c r="Z296" s="153"/>
      <c r="AA296" s="153"/>
      <c r="AB296" s="153"/>
      <c r="AC296" s="153"/>
      <c r="AD296" s="153"/>
      <c r="AE296" s="153"/>
      <c r="AF296" s="153"/>
      <c r="AG296" s="153"/>
      <c r="AH296" s="153"/>
      <c r="AI296" s="153"/>
      <c r="AJ296" s="153"/>
      <c r="AK296" s="46">
        <f>SUM(B296:AJ296)</f>
        <v>0</v>
      </c>
      <c r="AL296" s="31"/>
      <c r="AM296" s="31"/>
      <c r="AN296" s="31">
        <f>SUM(AN268:AN295)</f>
        <v>7134</v>
      </c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  <c r="BA296" s="31"/>
      <c r="BB296" s="31"/>
      <c r="BC296" s="31"/>
      <c r="BD296" s="31"/>
      <c r="BE296" s="31"/>
      <c r="BF296" s="31"/>
      <c r="BG296" s="31"/>
      <c r="BH296" s="31"/>
      <c r="BI296" s="31"/>
    </row>
    <row r="297" spans="1:61" x14ac:dyDescent="0.2">
      <c r="A297" s="154" t="s">
        <v>7</v>
      </c>
      <c r="B297" s="155">
        <f t="shared" ref="B297:K297" si="67">SUM(B294:B296)</f>
        <v>0</v>
      </c>
      <c r="C297" s="155">
        <f t="shared" si="67"/>
        <v>0</v>
      </c>
      <c r="D297" s="155">
        <f t="shared" si="67"/>
        <v>0</v>
      </c>
      <c r="E297" s="155">
        <f t="shared" si="67"/>
        <v>0</v>
      </c>
      <c r="F297" s="155">
        <f t="shared" si="67"/>
        <v>0</v>
      </c>
      <c r="G297" s="155">
        <f t="shared" si="67"/>
        <v>0</v>
      </c>
      <c r="H297" s="155">
        <f t="shared" si="67"/>
        <v>0</v>
      </c>
      <c r="I297" s="155">
        <f t="shared" si="67"/>
        <v>0</v>
      </c>
      <c r="J297" s="155">
        <f t="shared" si="67"/>
        <v>0</v>
      </c>
      <c r="K297" s="156">
        <f t="shared" si="67"/>
        <v>0</v>
      </c>
      <c r="L297" s="155">
        <f t="shared" ref="L297:AJ297" si="68">SUM(L294:L296)</f>
        <v>0</v>
      </c>
      <c r="M297" s="156">
        <f t="shared" si="68"/>
        <v>0</v>
      </c>
      <c r="N297" s="156">
        <f t="shared" si="68"/>
        <v>0</v>
      </c>
      <c r="O297" s="156">
        <f t="shared" si="68"/>
        <v>0</v>
      </c>
      <c r="P297" s="156">
        <f t="shared" si="68"/>
        <v>0</v>
      </c>
      <c r="Q297" s="156">
        <f t="shared" si="68"/>
        <v>0</v>
      </c>
      <c r="R297" s="156">
        <f t="shared" si="68"/>
        <v>0</v>
      </c>
      <c r="S297" s="156">
        <f t="shared" si="68"/>
        <v>0</v>
      </c>
      <c r="T297" s="156">
        <f t="shared" si="68"/>
        <v>0</v>
      </c>
      <c r="U297" s="156">
        <f t="shared" si="68"/>
        <v>0</v>
      </c>
      <c r="V297" s="156">
        <f t="shared" si="68"/>
        <v>0</v>
      </c>
      <c r="W297" s="156">
        <f t="shared" si="68"/>
        <v>0</v>
      </c>
      <c r="X297" s="156">
        <f t="shared" si="68"/>
        <v>0</v>
      </c>
      <c r="Y297" s="156">
        <f t="shared" si="68"/>
        <v>0</v>
      </c>
      <c r="Z297" s="156">
        <f t="shared" si="68"/>
        <v>0</v>
      </c>
      <c r="AA297" s="156">
        <f t="shared" si="68"/>
        <v>0</v>
      </c>
      <c r="AB297" s="156">
        <f t="shared" si="68"/>
        <v>0</v>
      </c>
      <c r="AC297" s="156">
        <f t="shared" si="68"/>
        <v>0</v>
      </c>
      <c r="AD297" s="156">
        <f t="shared" si="68"/>
        <v>0</v>
      </c>
      <c r="AE297" s="156">
        <f t="shared" si="68"/>
        <v>0</v>
      </c>
      <c r="AF297" s="156">
        <f t="shared" si="68"/>
        <v>0</v>
      </c>
      <c r="AG297" s="156">
        <f t="shared" si="68"/>
        <v>0</v>
      </c>
      <c r="AH297" s="156">
        <f t="shared" si="68"/>
        <v>0</v>
      </c>
      <c r="AI297" s="156">
        <f t="shared" si="68"/>
        <v>0</v>
      </c>
      <c r="AJ297" s="156">
        <f t="shared" si="68"/>
        <v>0</v>
      </c>
      <c r="AK297" s="157">
        <f>SUM(AK294:AK296)</f>
        <v>0</v>
      </c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  <c r="BA297" s="31"/>
      <c r="BB297" s="31"/>
      <c r="BC297" s="31"/>
      <c r="BD297" s="31"/>
      <c r="BE297" s="31"/>
      <c r="BF297" s="31"/>
      <c r="BG297" s="31"/>
      <c r="BH297" s="31"/>
      <c r="BI297" s="31"/>
    </row>
    <row r="298" spans="1:61" x14ac:dyDescent="0.2">
      <c r="A298" s="120" t="s">
        <v>74</v>
      </c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158"/>
      <c r="N298" s="158"/>
      <c r="O298" s="158"/>
      <c r="P298" s="158"/>
      <c r="Q298" s="158"/>
      <c r="R298" s="158"/>
      <c r="S298" s="158"/>
      <c r="T298" s="158"/>
      <c r="U298" s="158"/>
      <c r="V298" s="158"/>
      <c r="W298" s="158"/>
      <c r="X298" s="158"/>
      <c r="Y298" s="158"/>
      <c r="Z298" s="158"/>
      <c r="AA298" s="158"/>
      <c r="AB298" s="158"/>
      <c r="AC298" s="158"/>
      <c r="AD298" s="158"/>
      <c r="AE298" s="158"/>
      <c r="AF298" s="158"/>
      <c r="AG298" s="158"/>
      <c r="AH298" s="158"/>
      <c r="AI298" s="158"/>
      <c r="AJ298" s="158"/>
      <c r="AK298" s="46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1"/>
      <c r="BC298" s="31"/>
      <c r="BD298" s="31"/>
      <c r="BE298" s="31"/>
      <c r="BF298" s="31"/>
      <c r="BG298" s="31"/>
      <c r="BH298" s="31"/>
      <c r="BI298" s="31"/>
    </row>
    <row r="299" spans="1:61" x14ac:dyDescent="0.2">
      <c r="A299" s="110" t="s">
        <v>92</v>
      </c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153"/>
      <c r="N299" s="153"/>
      <c r="O299" s="153"/>
      <c r="P299" s="153"/>
      <c r="Q299" s="153"/>
      <c r="R299" s="153"/>
      <c r="S299" s="153"/>
      <c r="T299" s="153"/>
      <c r="U299" s="153"/>
      <c r="V299" s="153"/>
      <c r="W299" s="153"/>
      <c r="X299" s="153"/>
      <c r="Y299" s="153"/>
      <c r="Z299" s="153"/>
      <c r="AA299" s="153"/>
      <c r="AB299" s="153"/>
      <c r="AC299" s="153"/>
      <c r="AD299" s="153"/>
      <c r="AE299" s="153"/>
      <c r="AF299" s="153"/>
      <c r="AG299" s="153"/>
      <c r="AH299" s="153"/>
      <c r="AI299" s="153"/>
      <c r="AJ299" s="153"/>
      <c r="AK299" s="46">
        <f>SUM(B299:AJ299)</f>
        <v>0</v>
      </c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  <c r="BA299" s="31"/>
      <c r="BB299" s="31"/>
      <c r="BC299" s="31"/>
      <c r="BD299" s="31"/>
      <c r="BE299" s="31"/>
      <c r="BF299" s="31"/>
      <c r="BG299" s="31"/>
      <c r="BH299" s="31"/>
      <c r="BI299" s="31"/>
    </row>
    <row r="300" spans="1:61" x14ac:dyDescent="0.2">
      <c r="A300" s="110" t="s">
        <v>93</v>
      </c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328"/>
      <c r="Y300" s="44"/>
      <c r="Z300" s="44"/>
      <c r="AA300" s="44"/>
      <c r="AB300" s="44"/>
      <c r="AC300" s="44"/>
      <c r="AD300" s="44"/>
      <c r="AE300" s="44"/>
      <c r="AF300" s="44"/>
      <c r="AG300" s="44"/>
      <c r="AH300" s="44"/>
      <c r="AI300" s="44"/>
      <c r="AJ300" s="44"/>
      <c r="AK300" s="46">
        <f>SUM(B300:AJ300)</f>
        <v>0</v>
      </c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  <c r="BA300" s="31"/>
      <c r="BB300" s="31"/>
      <c r="BC300" s="31"/>
      <c r="BD300" s="31"/>
      <c r="BE300" s="31"/>
      <c r="BF300" s="31"/>
      <c r="BG300" s="31"/>
      <c r="BH300" s="31"/>
      <c r="BI300" s="31"/>
    </row>
    <row r="301" spans="1:61" x14ac:dyDescent="0.2">
      <c r="A301" s="110" t="s">
        <v>1</v>
      </c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153"/>
      <c r="N301" s="153"/>
      <c r="O301" s="153"/>
      <c r="P301" s="153"/>
      <c r="Q301" s="153"/>
      <c r="R301" s="153"/>
      <c r="S301" s="153"/>
      <c r="T301" s="153"/>
      <c r="U301" s="153"/>
      <c r="V301" s="153"/>
      <c r="W301" s="153"/>
      <c r="X301" s="153"/>
      <c r="Y301" s="153"/>
      <c r="Z301" s="153"/>
      <c r="AA301" s="153"/>
      <c r="AB301" s="153"/>
      <c r="AC301" s="153"/>
      <c r="AD301" s="153"/>
      <c r="AE301" s="153"/>
      <c r="AF301" s="153"/>
      <c r="AG301" s="153"/>
      <c r="AH301" s="153"/>
      <c r="AI301" s="153"/>
      <c r="AJ301" s="153"/>
      <c r="AK301" s="46">
        <f>SUM(B301:AJ301)</f>
        <v>0</v>
      </c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  <c r="BA301" s="31"/>
      <c r="BB301" s="31"/>
      <c r="BC301" s="31"/>
      <c r="BD301" s="31"/>
      <c r="BE301" s="31"/>
      <c r="BF301" s="31"/>
      <c r="BG301" s="31"/>
      <c r="BH301" s="31"/>
      <c r="BI301" s="31"/>
    </row>
    <row r="302" spans="1:61" x14ac:dyDescent="0.2">
      <c r="A302" s="154" t="s">
        <v>7</v>
      </c>
      <c r="B302" s="155">
        <f>SUM(B299:B301)</f>
        <v>0</v>
      </c>
      <c r="C302" s="155">
        <f t="shared" ref="C302:H302" si="69">SUM(C299:C301)</f>
        <v>0</v>
      </c>
      <c r="D302" s="155">
        <f t="shared" si="69"/>
        <v>0</v>
      </c>
      <c r="E302" s="155">
        <f t="shared" si="69"/>
        <v>0</v>
      </c>
      <c r="F302" s="155">
        <f t="shared" si="69"/>
        <v>0</v>
      </c>
      <c r="G302" s="155">
        <f t="shared" si="69"/>
        <v>0</v>
      </c>
      <c r="H302" s="155">
        <f t="shared" si="69"/>
        <v>0</v>
      </c>
      <c r="I302" s="156">
        <f>SUM(I299:I301)</f>
        <v>0</v>
      </c>
      <c r="J302" s="156">
        <f>SUM(J299:J301)</f>
        <v>0</v>
      </c>
      <c r="K302" s="156">
        <f>SUM(K299:K301)</f>
        <v>0</v>
      </c>
      <c r="L302" s="156">
        <f>SUM(L299:L301)</f>
        <v>0</v>
      </c>
      <c r="M302" s="156">
        <f t="shared" ref="M302:AJ302" si="70">M299+M300+M301</f>
        <v>0</v>
      </c>
      <c r="N302" s="156">
        <f t="shared" si="70"/>
        <v>0</v>
      </c>
      <c r="O302" s="156">
        <f t="shared" si="70"/>
        <v>0</v>
      </c>
      <c r="P302" s="156">
        <f t="shared" si="70"/>
        <v>0</v>
      </c>
      <c r="Q302" s="156">
        <f t="shared" si="70"/>
        <v>0</v>
      </c>
      <c r="R302" s="156">
        <f t="shared" si="70"/>
        <v>0</v>
      </c>
      <c r="S302" s="156">
        <f t="shared" si="70"/>
        <v>0</v>
      </c>
      <c r="T302" s="156">
        <f t="shared" si="70"/>
        <v>0</v>
      </c>
      <c r="U302" s="156">
        <f t="shared" si="70"/>
        <v>0</v>
      </c>
      <c r="V302" s="156">
        <f t="shared" si="70"/>
        <v>0</v>
      </c>
      <c r="W302" s="156">
        <f t="shared" si="70"/>
        <v>0</v>
      </c>
      <c r="X302" s="156">
        <f t="shared" si="70"/>
        <v>0</v>
      </c>
      <c r="Y302" s="156">
        <f t="shared" si="70"/>
        <v>0</v>
      </c>
      <c r="Z302" s="156">
        <f t="shared" si="70"/>
        <v>0</v>
      </c>
      <c r="AA302" s="156">
        <f t="shared" si="70"/>
        <v>0</v>
      </c>
      <c r="AB302" s="156">
        <f t="shared" si="70"/>
        <v>0</v>
      </c>
      <c r="AC302" s="156">
        <f t="shared" si="70"/>
        <v>0</v>
      </c>
      <c r="AD302" s="156">
        <f t="shared" si="70"/>
        <v>0</v>
      </c>
      <c r="AE302" s="156">
        <f t="shared" si="70"/>
        <v>0</v>
      </c>
      <c r="AF302" s="156">
        <f t="shared" si="70"/>
        <v>0</v>
      </c>
      <c r="AG302" s="156">
        <f t="shared" si="70"/>
        <v>0</v>
      </c>
      <c r="AH302" s="156">
        <f t="shared" si="70"/>
        <v>0</v>
      </c>
      <c r="AI302" s="156">
        <f t="shared" si="70"/>
        <v>0</v>
      </c>
      <c r="AJ302" s="156">
        <f t="shared" si="70"/>
        <v>0</v>
      </c>
      <c r="AK302" s="157">
        <f>SUM(AK299:AK301)</f>
        <v>0</v>
      </c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1"/>
      <c r="BB302" s="31"/>
      <c r="BC302" s="31"/>
      <c r="BD302" s="31"/>
      <c r="BE302" s="31"/>
      <c r="BF302" s="31"/>
      <c r="BG302" s="31"/>
      <c r="BH302" s="31"/>
      <c r="BI302" s="31"/>
    </row>
    <row r="303" spans="1:61" x14ac:dyDescent="0.2">
      <c r="A303" s="120" t="s">
        <v>75</v>
      </c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158"/>
      <c r="N303" s="158"/>
      <c r="O303" s="158"/>
      <c r="P303" s="158"/>
      <c r="Q303" s="158"/>
      <c r="R303" s="158"/>
      <c r="S303" s="158"/>
      <c r="T303" s="158"/>
      <c r="U303" s="158"/>
      <c r="V303" s="158"/>
      <c r="W303" s="158"/>
      <c r="X303" s="158"/>
      <c r="Y303" s="158"/>
      <c r="Z303" s="158"/>
      <c r="AA303" s="158"/>
      <c r="AB303" s="158"/>
      <c r="AC303" s="158"/>
      <c r="AD303" s="158"/>
      <c r="AE303" s="158"/>
      <c r="AF303" s="158"/>
      <c r="AG303" s="158"/>
      <c r="AH303" s="158"/>
      <c r="AI303" s="158"/>
      <c r="AJ303" s="158"/>
      <c r="AK303" s="46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1"/>
      <c r="BC303" s="31"/>
      <c r="BD303" s="31"/>
      <c r="BE303" s="31"/>
      <c r="BF303" s="31"/>
      <c r="BG303" s="31"/>
      <c r="BH303" s="31"/>
      <c r="BI303" s="31"/>
    </row>
    <row r="304" spans="1:61" x14ac:dyDescent="0.2">
      <c r="A304" s="110" t="s">
        <v>92</v>
      </c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153"/>
      <c r="N304" s="153"/>
      <c r="O304" s="153"/>
      <c r="P304" s="153"/>
      <c r="Q304" s="153"/>
      <c r="R304" s="153"/>
      <c r="S304" s="153"/>
      <c r="T304" s="153"/>
      <c r="U304" s="153"/>
      <c r="V304" s="153"/>
      <c r="W304" s="153"/>
      <c r="X304" s="153"/>
      <c r="Y304" s="153"/>
      <c r="Z304" s="153"/>
      <c r="AA304" s="153"/>
      <c r="AB304" s="153"/>
      <c r="AC304" s="153"/>
      <c r="AD304" s="153"/>
      <c r="AE304" s="153"/>
      <c r="AF304" s="153"/>
      <c r="AG304" s="153"/>
      <c r="AH304" s="153"/>
      <c r="AI304" s="153"/>
      <c r="AJ304" s="153"/>
      <c r="AK304" s="46">
        <f>SUM(B304:AJ304)</f>
        <v>0</v>
      </c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  <c r="BA304" s="31"/>
      <c r="BB304" s="31"/>
      <c r="BC304" s="31"/>
      <c r="BD304" s="31"/>
      <c r="BE304" s="31"/>
      <c r="BF304" s="31"/>
      <c r="BG304" s="31"/>
      <c r="BH304" s="31"/>
      <c r="BI304" s="31"/>
    </row>
    <row r="305" spans="1:61" x14ac:dyDescent="0.2">
      <c r="A305" s="110" t="s">
        <v>93</v>
      </c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153"/>
      <c r="N305" s="153"/>
      <c r="O305" s="153"/>
      <c r="P305" s="153"/>
      <c r="Q305" s="153"/>
      <c r="R305" s="153"/>
      <c r="S305" s="153"/>
      <c r="T305" s="153"/>
      <c r="U305" s="153"/>
      <c r="V305" s="153"/>
      <c r="W305" s="153"/>
      <c r="X305" s="153"/>
      <c r="Y305" s="153"/>
      <c r="Z305" s="153"/>
      <c r="AA305" s="153"/>
      <c r="AB305" s="153"/>
      <c r="AC305" s="153"/>
      <c r="AD305" s="153"/>
      <c r="AE305" s="153"/>
      <c r="AF305" s="153"/>
      <c r="AG305" s="153"/>
      <c r="AH305" s="153"/>
      <c r="AI305" s="153"/>
      <c r="AJ305" s="153"/>
      <c r="AK305" s="46">
        <f>+SUM(B305:AJ305)</f>
        <v>0</v>
      </c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31"/>
      <c r="BD305" s="31"/>
      <c r="BE305" s="31"/>
      <c r="BF305" s="31"/>
      <c r="BG305" s="31"/>
      <c r="BH305" s="31"/>
      <c r="BI305" s="31"/>
    </row>
    <row r="306" spans="1:61" x14ac:dyDescent="0.2">
      <c r="A306" s="110" t="s">
        <v>1</v>
      </c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153"/>
      <c r="N306" s="153"/>
      <c r="O306" s="153"/>
      <c r="P306" s="153"/>
      <c r="Q306" s="153"/>
      <c r="R306" s="153"/>
      <c r="S306" s="153"/>
      <c r="T306" s="153"/>
      <c r="U306" s="153"/>
      <c r="V306" s="153"/>
      <c r="W306" s="153"/>
      <c r="X306" s="153"/>
      <c r="Y306" s="153"/>
      <c r="Z306" s="153"/>
      <c r="AA306" s="153"/>
      <c r="AB306" s="153"/>
      <c r="AC306" s="153"/>
      <c r="AD306" s="153"/>
      <c r="AE306" s="153"/>
      <c r="AF306" s="153"/>
      <c r="AG306" s="153"/>
      <c r="AH306" s="153"/>
      <c r="AI306" s="153"/>
      <c r="AJ306" s="153"/>
      <c r="AK306" s="46">
        <f>SUM(B306:AJ306)</f>
        <v>0</v>
      </c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  <c r="BG306" s="31"/>
      <c r="BH306" s="31"/>
      <c r="BI306" s="31"/>
    </row>
    <row r="307" spans="1:61" x14ac:dyDescent="0.2">
      <c r="A307" s="154" t="s">
        <v>7</v>
      </c>
      <c r="B307" s="155">
        <f>SUM(B304:B306)</f>
        <v>0</v>
      </c>
      <c r="C307" s="155">
        <f t="shared" ref="C307:H307" si="71">SUM(C304:C306)</f>
        <v>0</v>
      </c>
      <c r="D307" s="155">
        <f t="shared" si="71"/>
        <v>0</v>
      </c>
      <c r="E307" s="155">
        <f t="shared" si="71"/>
        <v>0</v>
      </c>
      <c r="F307" s="155">
        <f t="shared" si="71"/>
        <v>0</v>
      </c>
      <c r="G307" s="155">
        <f t="shared" si="71"/>
        <v>0</v>
      </c>
      <c r="H307" s="155">
        <f t="shared" si="71"/>
        <v>0</v>
      </c>
      <c r="I307" s="156">
        <f>SUM(I304:I306)</f>
        <v>0</v>
      </c>
      <c r="J307" s="156">
        <f>SUM(J304:J306)</f>
        <v>0</v>
      </c>
      <c r="K307" s="156">
        <f>SUM(K304:K306)</f>
        <v>0</v>
      </c>
      <c r="L307" s="156">
        <f>SUM(L304:L306)</f>
        <v>0</v>
      </c>
      <c r="M307" s="156">
        <f t="shared" ref="M307:AJ307" si="72">M304+M305+M306</f>
        <v>0</v>
      </c>
      <c r="N307" s="156">
        <f t="shared" si="72"/>
        <v>0</v>
      </c>
      <c r="O307" s="156">
        <f t="shared" si="72"/>
        <v>0</v>
      </c>
      <c r="P307" s="156">
        <f t="shared" si="72"/>
        <v>0</v>
      </c>
      <c r="Q307" s="156">
        <f t="shared" si="72"/>
        <v>0</v>
      </c>
      <c r="R307" s="156">
        <f t="shared" si="72"/>
        <v>0</v>
      </c>
      <c r="S307" s="156">
        <f t="shared" si="72"/>
        <v>0</v>
      </c>
      <c r="T307" s="156">
        <f t="shared" si="72"/>
        <v>0</v>
      </c>
      <c r="U307" s="156">
        <f t="shared" si="72"/>
        <v>0</v>
      </c>
      <c r="V307" s="156">
        <f t="shared" si="72"/>
        <v>0</v>
      </c>
      <c r="W307" s="156">
        <f t="shared" si="72"/>
        <v>0</v>
      </c>
      <c r="X307" s="156">
        <f t="shared" si="72"/>
        <v>0</v>
      </c>
      <c r="Y307" s="156">
        <f t="shared" si="72"/>
        <v>0</v>
      </c>
      <c r="Z307" s="156">
        <f t="shared" si="72"/>
        <v>0</v>
      </c>
      <c r="AA307" s="156">
        <f t="shared" si="72"/>
        <v>0</v>
      </c>
      <c r="AB307" s="156">
        <f t="shared" si="72"/>
        <v>0</v>
      </c>
      <c r="AC307" s="156">
        <f t="shared" si="72"/>
        <v>0</v>
      </c>
      <c r="AD307" s="156">
        <f t="shared" si="72"/>
        <v>0</v>
      </c>
      <c r="AE307" s="156">
        <f t="shared" si="72"/>
        <v>0</v>
      </c>
      <c r="AF307" s="156">
        <f t="shared" si="72"/>
        <v>0</v>
      </c>
      <c r="AG307" s="156">
        <f t="shared" si="72"/>
        <v>0</v>
      </c>
      <c r="AH307" s="156">
        <f t="shared" si="72"/>
        <v>0</v>
      </c>
      <c r="AI307" s="156">
        <f t="shared" si="72"/>
        <v>0</v>
      </c>
      <c r="AJ307" s="156">
        <f t="shared" si="72"/>
        <v>0</v>
      </c>
      <c r="AK307" s="157">
        <f>SUM(AK304:AK306)</f>
        <v>0</v>
      </c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  <c r="BA307" s="31"/>
      <c r="BB307" s="31"/>
      <c r="BC307" s="31"/>
      <c r="BD307" s="31"/>
      <c r="BE307" s="31"/>
      <c r="BF307" s="31"/>
      <c r="BG307" s="31"/>
      <c r="BH307" s="31"/>
      <c r="BI307" s="31"/>
    </row>
    <row r="308" spans="1:61" x14ac:dyDescent="0.2">
      <c r="A308" s="120" t="s">
        <v>76</v>
      </c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158"/>
      <c r="N308" s="158"/>
      <c r="O308" s="158"/>
      <c r="P308" s="158"/>
      <c r="Q308" s="158"/>
      <c r="R308" s="158"/>
      <c r="S308" s="158"/>
      <c r="T308" s="158"/>
      <c r="U308" s="158"/>
      <c r="V308" s="158"/>
      <c r="W308" s="158"/>
      <c r="X308" s="158"/>
      <c r="Y308" s="158"/>
      <c r="Z308" s="158"/>
      <c r="AA308" s="158"/>
      <c r="AB308" s="158"/>
      <c r="AC308" s="158"/>
      <c r="AD308" s="158"/>
      <c r="AE308" s="158"/>
      <c r="AF308" s="158"/>
      <c r="AG308" s="158"/>
      <c r="AH308" s="158"/>
      <c r="AI308" s="158"/>
      <c r="AJ308" s="158"/>
      <c r="AK308" s="46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1"/>
      <c r="BB308" s="31"/>
      <c r="BC308" s="31"/>
      <c r="BD308" s="31"/>
      <c r="BE308" s="31"/>
      <c r="BF308" s="31"/>
      <c r="BG308" s="31"/>
      <c r="BH308" s="31"/>
      <c r="BI308" s="31"/>
    </row>
    <row r="309" spans="1:61" x14ac:dyDescent="0.2">
      <c r="A309" s="110" t="s">
        <v>92</v>
      </c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153"/>
      <c r="N309" s="153"/>
      <c r="O309" s="153"/>
      <c r="P309" s="153"/>
      <c r="Q309" s="153"/>
      <c r="R309" s="153"/>
      <c r="S309" s="153"/>
      <c r="T309" s="153"/>
      <c r="U309" s="153"/>
      <c r="V309" s="153"/>
      <c r="W309" s="153"/>
      <c r="X309" s="153"/>
      <c r="Y309" s="153"/>
      <c r="Z309" s="153"/>
      <c r="AA309" s="153"/>
      <c r="AB309" s="153"/>
      <c r="AC309" s="153"/>
      <c r="AD309" s="153"/>
      <c r="AE309" s="153"/>
      <c r="AF309" s="153"/>
      <c r="AG309" s="153"/>
      <c r="AH309" s="153"/>
      <c r="AI309" s="153"/>
      <c r="AJ309" s="153"/>
      <c r="AK309" s="46">
        <f>SUM(B309:AJ309)</f>
        <v>0</v>
      </c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1"/>
      <c r="BB309" s="31"/>
      <c r="BC309" s="31"/>
      <c r="BD309" s="31"/>
      <c r="BE309" s="31"/>
      <c r="BF309" s="31"/>
      <c r="BG309" s="31"/>
      <c r="BH309" s="31"/>
      <c r="BI309" s="31"/>
    </row>
    <row r="310" spans="1:61" x14ac:dyDescent="0.2">
      <c r="A310" s="110" t="s">
        <v>93</v>
      </c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153"/>
      <c r="N310" s="153"/>
      <c r="O310" s="153"/>
      <c r="P310" s="153"/>
      <c r="Q310" s="153"/>
      <c r="R310" s="153"/>
      <c r="S310" s="153"/>
      <c r="T310" s="153"/>
      <c r="U310" s="153"/>
      <c r="V310" s="153"/>
      <c r="W310" s="153"/>
      <c r="X310" s="153"/>
      <c r="Y310" s="153"/>
      <c r="Z310" s="153"/>
      <c r="AA310" s="153"/>
      <c r="AB310" s="153"/>
      <c r="AC310" s="153"/>
      <c r="AD310" s="153"/>
      <c r="AE310" s="153"/>
      <c r="AF310" s="153"/>
      <c r="AG310" s="153"/>
      <c r="AH310" s="153"/>
      <c r="AI310" s="153"/>
      <c r="AJ310" s="153"/>
      <c r="AK310" s="46">
        <f>SUM(B310:AJ310)</f>
        <v>0</v>
      </c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  <c r="BA310" s="31"/>
      <c r="BB310" s="31"/>
      <c r="BC310" s="31"/>
      <c r="BD310" s="31"/>
      <c r="BE310" s="31"/>
      <c r="BF310" s="31"/>
      <c r="BG310" s="31"/>
      <c r="BH310" s="31"/>
      <c r="BI310" s="31"/>
    </row>
    <row r="311" spans="1:61" x14ac:dyDescent="0.2">
      <c r="A311" s="110" t="s">
        <v>1</v>
      </c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153"/>
      <c r="N311" s="153"/>
      <c r="O311" s="153"/>
      <c r="P311" s="153"/>
      <c r="Q311" s="153"/>
      <c r="R311" s="153"/>
      <c r="S311" s="153"/>
      <c r="T311" s="153"/>
      <c r="U311" s="153"/>
      <c r="V311" s="153"/>
      <c r="W311" s="153"/>
      <c r="X311" s="153"/>
      <c r="Y311" s="153"/>
      <c r="Z311" s="153"/>
      <c r="AA311" s="153"/>
      <c r="AB311" s="153"/>
      <c r="AC311" s="153"/>
      <c r="AD311" s="153"/>
      <c r="AE311" s="153"/>
      <c r="AF311" s="153"/>
      <c r="AG311" s="153"/>
      <c r="AH311" s="153"/>
      <c r="AI311" s="153"/>
      <c r="AJ311" s="153"/>
      <c r="AK311" s="46">
        <f>SUM(B311:AJ311)</f>
        <v>0</v>
      </c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  <c r="BA311" s="31"/>
      <c r="BB311" s="31"/>
      <c r="BC311" s="31"/>
      <c r="BD311" s="31"/>
      <c r="BE311" s="31"/>
      <c r="BF311" s="31"/>
      <c r="BG311" s="31"/>
      <c r="BH311" s="31"/>
      <c r="BI311" s="31"/>
    </row>
    <row r="312" spans="1:61" ht="15.75" thickBot="1" x14ac:dyDescent="0.25">
      <c r="A312" s="160" t="s">
        <v>7</v>
      </c>
      <c r="B312" s="155">
        <f>SUM(B309:B311)</f>
        <v>0</v>
      </c>
      <c r="C312" s="155">
        <f t="shared" ref="C312:H312" si="73">SUM(C309:C311)</f>
        <v>0</v>
      </c>
      <c r="D312" s="155">
        <f t="shared" si="73"/>
        <v>0</v>
      </c>
      <c r="E312" s="155">
        <f t="shared" si="73"/>
        <v>0</v>
      </c>
      <c r="F312" s="155">
        <f t="shared" si="73"/>
        <v>0</v>
      </c>
      <c r="G312" s="155">
        <f t="shared" si="73"/>
        <v>0</v>
      </c>
      <c r="H312" s="155">
        <f t="shared" si="73"/>
        <v>0</v>
      </c>
      <c r="I312" s="156">
        <f>SUM(I309:I311)</f>
        <v>0</v>
      </c>
      <c r="J312" s="156">
        <f>SUM(J309:J311)</f>
        <v>0</v>
      </c>
      <c r="K312" s="156">
        <f>SUM(K309:K311)</f>
        <v>0</v>
      </c>
      <c r="L312" s="156">
        <f>SUM(L309:L311)</f>
        <v>0</v>
      </c>
      <c r="M312" s="156">
        <f t="shared" ref="M312:AJ312" si="74">M309+M310+M311</f>
        <v>0</v>
      </c>
      <c r="N312" s="156">
        <f t="shared" si="74"/>
        <v>0</v>
      </c>
      <c r="O312" s="156">
        <f t="shared" si="74"/>
        <v>0</v>
      </c>
      <c r="P312" s="156">
        <f t="shared" si="74"/>
        <v>0</v>
      </c>
      <c r="Q312" s="156">
        <f t="shared" si="74"/>
        <v>0</v>
      </c>
      <c r="R312" s="156">
        <f t="shared" si="74"/>
        <v>0</v>
      </c>
      <c r="S312" s="156">
        <f t="shared" si="74"/>
        <v>0</v>
      </c>
      <c r="T312" s="156">
        <f t="shared" si="74"/>
        <v>0</v>
      </c>
      <c r="U312" s="156">
        <f t="shared" si="74"/>
        <v>0</v>
      </c>
      <c r="V312" s="156">
        <f t="shared" si="74"/>
        <v>0</v>
      </c>
      <c r="W312" s="156">
        <f t="shared" si="74"/>
        <v>0</v>
      </c>
      <c r="X312" s="156">
        <f t="shared" si="74"/>
        <v>0</v>
      </c>
      <c r="Y312" s="156">
        <f t="shared" si="74"/>
        <v>0</v>
      </c>
      <c r="Z312" s="156">
        <f t="shared" si="74"/>
        <v>0</v>
      </c>
      <c r="AA312" s="156">
        <f t="shared" si="74"/>
        <v>0</v>
      </c>
      <c r="AB312" s="156">
        <f t="shared" si="74"/>
        <v>0</v>
      </c>
      <c r="AC312" s="156">
        <f t="shared" si="74"/>
        <v>0</v>
      </c>
      <c r="AD312" s="156">
        <f t="shared" si="74"/>
        <v>0</v>
      </c>
      <c r="AE312" s="156">
        <f t="shared" si="74"/>
        <v>0</v>
      </c>
      <c r="AF312" s="156">
        <f t="shared" si="74"/>
        <v>0</v>
      </c>
      <c r="AG312" s="156">
        <f t="shared" si="74"/>
        <v>0</v>
      </c>
      <c r="AH312" s="156">
        <f t="shared" si="74"/>
        <v>0</v>
      </c>
      <c r="AI312" s="156">
        <f t="shared" si="74"/>
        <v>0</v>
      </c>
      <c r="AJ312" s="156">
        <f t="shared" si="74"/>
        <v>0</v>
      </c>
      <c r="AK312" s="161">
        <f>SUM(AK309:AK311)</f>
        <v>0</v>
      </c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  <c r="BA312" s="31"/>
      <c r="BB312" s="31"/>
      <c r="BC312" s="31"/>
      <c r="BD312" s="31"/>
      <c r="BE312" s="31"/>
      <c r="BF312" s="31"/>
      <c r="BG312" s="31"/>
      <c r="BH312" s="31"/>
      <c r="BI312" s="31"/>
    </row>
    <row r="313" spans="1:61" ht="15.75" thickBot="1" x14ac:dyDescent="0.25">
      <c r="A313" s="172"/>
      <c r="B313" s="173"/>
      <c r="C313" s="173"/>
      <c r="D313" s="173"/>
      <c r="E313" s="173"/>
      <c r="F313" s="173"/>
      <c r="G313" s="173"/>
      <c r="H313" s="173"/>
      <c r="I313" s="173"/>
      <c r="J313" s="173"/>
      <c r="K313" s="173"/>
      <c r="L313" s="173"/>
      <c r="M313" s="173"/>
      <c r="N313" s="173"/>
      <c r="O313" s="173"/>
      <c r="P313" s="173"/>
      <c r="Q313" s="173"/>
      <c r="R313" s="174"/>
      <c r="S313" s="174"/>
      <c r="T313" s="174"/>
      <c r="U313" s="174"/>
      <c r="V313" s="174"/>
      <c r="W313" s="174"/>
      <c r="X313" s="174"/>
      <c r="Y313" s="174"/>
      <c r="Z313" s="174"/>
      <c r="AA313" s="174"/>
      <c r="AB313" s="174"/>
      <c r="AC313" s="174"/>
      <c r="AD313" s="174"/>
      <c r="AE313" s="174"/>
      <c r="AF313" s="174"/>
      <c r="AG313" s="174"/>
      <c r="AH313" s="174"/>
      <c r="AI313" s="174"/>
      <c r="AJ313" s="174"/>
      <c r="AK313" s="172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</row>
    <row r="314" spans="1:61" ht="28.5" customHeight="1" thickBot="1" x14ac:dyDescent="0.25">
      <c r="A314" s="165" t="s">
        <v>141</v>
      </c>
      <c r="B314" s="166"/>
      <c r="C314" s="166"/>
      <c r="D314" s="166"/>
      <c r="E314" s="166"/>
      <c r="F314" s="166"/>
      <c r="G314" s="166"/>
      <c r="H314" s="166"/>
      <c r="I314" s="166"/>
      <c r="J314" s="166"/>
      <c r="K314" s="166"/>
      <c r="L314" s="166"/>
      <c r="M314" s="166"/>
      <c r="N314" s="166"/>
      <c r="O314" s="166"/>
      <c r="P314" s="166"/>
      <c r="Q314" s="166"/>
      <c r="R314" s="166"/>
      <c r="S314" s="166"/>
      <c r="T314" s="166"/>
      <c r="U314" s="166"/>
      <c r="V314" s="166"/>
      <c r="W314" s="166"/>
      <c r="X314" s="166"/>
      <c r="Y314" s="166"/>
      <c r="Z314" s="166"/>
      <c r="AA314" s="166"/>
      <c r="AB314" s="166"/>
      <c r="AC314" s="166"/>
      <c r="AD314" s="166"/>
      <c r="AE314" s="166"/>
      <c r="AF314" s="166"/>
      <c r="AG314" s="166"/>
      <c r="AH314" s="166"/>
      <c r="AI314" s="166"/>
      <c r="AJ314" s="166"/>
      <c r="AK314" s="167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  <c r="BA314" s="31"/>
      <c r="BB314" s="31"/>
      <c r="BC314" s="31"/>
      <c r="BD314" s="31"/>
      <c r="BE314" s="31"/>
      <c r="BF314" s="31"/>
      <c r="BG314" s="31"/>
      <c r="BH314" s="31"/>
      <c r="BI314" s="31"/>
    </row>
    <row r="315" spans="1:61" s="149" customFormat="1" ht="15.75" thickBot="1" x14ac:dyDescent="0.25">
      <c r="A315" s="146"/>
      <c r="B315" s="175" t="s">
        <v>2</v>
      </c>
      <c r="C315" s="175" t="s">
        <v>104</v>
      </c>
      <c r="D315" s="175" t="s">
        <v>140</v>
      </c>
      <c r="E315" s="175" t="s">
        <v>106</v>
      </c>
      <c r="F315" s="175" t="s">
        <v>107</v>
      </c>
      <c r="G315" s="175" t="s">
        <v>142</v>
      </c>
      <c r="H315" s="175" t="s">
        <v>109</v>
      </c>
      <c r="I315" s="147" t="s">
        <v>110</v>
      </c>
      <c r="J315" s="147" t="s">
        <v>111</v>
      </c>
      <c r="K315" s="147" t="s">
        <v>112</v>
      </c>
      <c r="L315" s="175" t="s">
        <v>113</v>
      </c>
      <c r="M315" s="175" t="s">
        <v>114</v>
      </c>
      <c r="N315" s="175" t="s">
        <v>115</v>
      </c>
      <c r="O315" s="175" t="s">
        <v>116</v>
      </c>
      <c r="P315" s="175" t="s">
        <v>117</v>
      </c>
      <c r="Q315" s="175" t="s">
        <v>118</v>
      </c>
      <c r="R315" s="175" t="s">
        <v>119</v>
      </c>
      <c r="S315" s="175" t="s">
        <v>120</v>
      </c>
      <c r="T315" s="175" t="s">
        <v>121</v>
      </c>
      <c r="U315" s="175" t="s">
        <v>122</v>
      </c>
      <c r="V315" s="175" t="s">
        <v>123</v>
      </c>
      <c r="W315" s="175" t="s">
        <v>124</v>
      </c>
      <c r="X315" s="175" t="s">
        <v>125</v>
      </c>
      <c r="Y315" s="175" t="s">
        <v>126</v>
      </c>
      <c r="Z315" s="175" t="s">
        <v>127</v>
      </c>
      <c r="AA315" s="175" t="s">
        <v>128</v>
      </c>
      <c r="AB315" s="175" t="s">
        <v>129</v>
      </c>
      <c r="AC315" s="175" t="s">
        <v>130</v>
      </c>
      <c r="AD315" s="175" t="s">
        <v>131</v>
      </c>
      <c r="AE315" s="175" t="s">
        <v>132</v>
      </c>
      <c r="AF315" s="175" t="s">
        <v>133</v>
      </c>
      <c r="AG315" s="175" t="s">
        <v>134</v>
      </c>
      <c r="AH315" s="175" t="s">
        <v>135</v>
      </c>
      <c r="AI315" s="175" t="s">
        <v>136</v>
      </c>
      <c r="AJ315" s="175" t="s">
        <v>137</v>
      </c>
      <c r="AK315" s="148" t="s">
        <v>0</v>
      </c>
    </row>
    <row r="316" spans="1:61" x14ac:dyDescent="0.2">
      <c r="A316" s="104" t="s">
        <v>65</v>
      </c>
      <c r="B316" s="176"/>
      <c r="C316" s="176"/>
      <c r="D316" s="176"/>
      <c r="E316" s="176"/>
      <c r="F316" s="176"/>
      <c r="G316" s="176"/>
      <c r="H316" s="176"/>
      <c r="I316" s="176"/>
      <c r="J316" s="176"/>
      <c r="K316" s="176"/>
      <c r="L316" s="176"/>
      <c r="M316" s="176"/>
      <c r="N316" s="176"/>
      <c r="O316" s="176"/>
      <c r="P316" s="176"/>
      <c r="Q316" s="176"/>
      <c r="R316" s="177"/>
      <c r="S316" s="177"/>
      <c r="T316" s="177"/>
      <c r="U316" s="177"/>
      <c r="V316" s="177"/>
      <c r="W316" s="177"/>
      <c r="X316" s="177"/>
      <c r="Y316" s="177"/>
      <c r="Z316" s="177"/>
      <c r="AA316" s="177"/>
      <c r="AB316" s="177"/>
      <c r="AC316" s="177"/>
      <c r="AD316" s="177"/>
      <c r="AE316" s="177"/>
      <c r="AF316" s="177"/>
      <c r="AG316" s="177"/>
      <c r="AH316" s="177"/>
      <c r="AI316" s="177"/>
      <c r="AJ316" s="177"/>
      <c r="AK316" s="178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  <c r="BA316" s="31"/>
      <c r="BB316" s="31"/>
      <c r="BC316" s="31"/>
      <c r="BD316" s="31"/>
      <c r="BE316" s="31"/>
      <c r="BF316" s="31"/>
      <c r="BG316" s="31"/>
      <c r="BH316" s="31"/>
      <c r="BI316" s="31"/>
    </row>
    <row r="317" spans="1:61" x14ac:dyDescent="0.2">
      <c r="A317" s="110" t="s">
        <v>92</v>
      </c>
      <c r="B317" s="179">
        <f t="shared" ref="B317:AJ319" si="75">B190-B254</f>
        <v>418</v>
      </c>
      <c r="C317" s="179">
        <f t="shared" si="75"/>
        <v>49</v>
      </c>
      <c r="D317" s="179">
        <f t="shared" si="75"/>
        <v>34</v>
      </c>
      <c r="E317" s="179">
        <f t="shared" si="75"/>
        <v>0</v>
      </c>
      <c r="F317" s="179">
        <f t="shared" si="75"/>
        <v>2</v>
      </c>
      <c r="G317" s="179">
        <f t="shared" si="75"/>
        <v>1</v>
      </c>
      <c r="H317" s="179">
        <f t="shared" si="75"/>
        <v>1</v>
      </c>
      <c r="I317" s="179">
        <f t="shared" si="75"/>
        <v>0</v>
      </c>
      <c r="J317" s="179">
        <f t="shared" si="75"/>
        <v>8</v>
      </c>
      <c r="K317" s="179">
        <f t="shared" si="75"/>
        <v>0</v>
      </c>
      <c r="L317" s="179">
        <f t="shared" si="75"/>
        <v>16</v>
      </c>
      <c r="M317" s="179">
        <f t="shared" si="75"/>
        <v>1</v>
      </c>
      <c r="N317" s="179">
        <f t="shared" si="75"/>
        <v>0</v>
      </c>
      <c r="O317" s="179">
        <f t="shared" si="75"/>
        <v>0</v>
      </c>
      <c r="P317" s="179">
        <f t="shared" si="75"/>
        <v>3</v>
      </c>
      <c r="Q317" s="179">
        <f t="shared" si="75"/>
        <v>0</v>
      </c>
      <c r="R317" s="179">
        <f t="shared" si="75"/>
        <v>0</v>
      </c>
      <c r="S317" s="179">
        <f t="shared" si="75"/>
        <v>0</v>
      </c>
      <c r="T317" s="179">
        <f t="shared" si="75"/>
        <v>4</v>
      </c>
      <c r="U317" s="179">
        <f t="shared" si="75"/>
        <v>4</v>
      </c>
      <c r="V317" s="179">
        <f t="shared" si="75"/>
        <v>2</v>
      </c>
      <c r="W317" s="179">
        <f t="shared" si="75"/>
        <v>5</v>
      </c>
      <c r="X317" s="179">
        <f t="shared" si="75"/>
        <v>9</v>
      </c>
      <c r="Y317" s="179">
        <f t="shared" si="75"/>
        <v>1</v>
      </c>
      <c r="Z317" s="179">
        <f t="shared" si="75"/>
        <v>3</v>
      </c>
      <c r="AA317" s="179">
        <f t="shared" si="75"/>
        <v>4</v>
      </c>
      <c r="AB317" s="179">
        <f t="shared" si="75"/>
        <v>53</v>
      </c>
      <c r="AC317" s="179">
        <f t="shared" si="75"/>
        <v>1</v>
      </c>
      <c r="AD317" s="179">
        <f t="shared" si="75"/>
        <v>16</v>
      </c>
      <c r="AE317" s="179">
        <f t="shared" si="75"/>
        <v>1</v>
      </c>
      <c r="AF317" s="179">
        <f t="shared" si="75"/>
        <v>0</v>
      </c>
      <c r="AG317" s="179">
        <f t="shared" si="75"/>
        <v>2</v>
      </c>
      <c r="AH317" s="179">
        <f t="shared" si="75"/>
        <v>2</v>
      </c>
      <c r="AI317" s="179">
        <f t="shared" si="75"/>
        <v>37</v>
      </c>
      <c r="AJ317" s="179">
        <f t="shared" si="75"/>
        <v>8</v>
      </c>
      <c r="AK317" s="180">
        <f>AK190-AK254</f>
        <v>685</v>
      </c>
      <c r="AL317" s="181"/>
      <c r="AM317" s="18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  <c r="BC317" s="31"/>
      <c r="BD317" s="31"/>
      <c r="BE317" s="31"/>
      <c r="BF317" s="31"/>
      <c r="BG317" s="31"/>
      <c r="BH317" s="31"/>
      <c r="BI317" s="31"/>
    </row>
    <row r="318" spans="1:61" x14ac:dyDescent="0.2">
      <c r="A318" s="110" t="s">
        <v>93</v>
      </c>
      <c r="B318" s="179">
        <f t="shared" si="75"/>
        <v>1022</v>
      </c>
      <c r="C318" s="179">
        <f t="shared" si="75"/>
        <v>115</v>
      </c>
      <c r="D318" s="179">
        <f t="shared" si="75"/>
        <v>121</v>
      </c>
      <c r="E318" s="179">
        <f t="shared" si="75"/>
        <v>21</v>
      </c>
      <c r="F318" s="179">
        <f t="shared" si="75"/>
        <v>8</v>
      </c>
      <c r="G318" s="179">
        <f t="shared" si="75"/>
        <v>0</v>
      </c>
      <c r="H318" s="179">
        <f t="shared" si="75"/>
        <v>0</v>
      </c>
      <c r="I318" s="179">
        <f t="shared" si="75"/>
        <v>0</v>
      </c>
      <c r="J318" s="179">
        <f t="shared" si="75"/>
        <v>47</v>
      </c>
      <c r="K318" s="179">
        <f t="shared" si="75"/>
        <v>0</v>
      </c>
      <c r="L318" s="179">
        <f t="shared" si="75"/>
        <v>49</v>
      </c>
      <c r="M318" s="179">
        <f t="shared" si="75"/>
        <v>2</v>
      </c>
      <c r="N318" s="179">
        <f t="shared" si="75"/>
        <v>5</v>
      </c>
      <c r="O318" s="179">
        <f t="shared" si="75"/>
        <v>1</v>
      </c>
      <c r="P318" s="179">
        <f t="shared" si="75"/>
        <v>23</v>
      </c>
      <c r="Q318" s="179">
        <f t="shared" si="75"/>
        <v>0</v>
      </c>
      <c r="R318" s="179">
        <f t="shared" si="75"/>
        <v>0</v>
      </c>
      <c r="S318" s="179">
        <f t="shared" si="75"/>
        <v>0</v>
      </c>
      <c r="T318" s="179">
        <f t="shared" si="75"/>
        <v>13</v>
      </c>
      <c r="U318" s="179">
        <f t="shared" si="75"/>
        <v>8</v>
      </c>
      <c r="V318" s="179">
        <f t="shared" si="75"/>
        <v>22</v>
      </c>
      <c r="W318" s="179">
        <f t="shared" si="75"/>
        <v>17</v>
      </c>
      <c r="X318" s="179">
        <f t="shared" si="75"/>
        <v>28</v>
      </c>
      <c r="Y318" s="179">
        <f t="shared" si="75"/>
        <v>10</v>
      </c>
      <c r="Z318" s="179">
        <f t="shared" si="75"/>
        <v>51</v>
      </c>
      <c r="AA318" s="179">
        <f t="shared" si="75"/>
        <v>16</v>
      </c>
      <c r="AB318" s="179">
        <f t="shared" si="75"/>
        <v>12</v>
      </c>
      <c r="AC318" s="179">
        <f t="shared" si="75"/>
        <v>0</v>
      </c>
      <c r="AD318" s="179">
        <f t="shared" si="75"/>
        <v>10</v>
      </c>
      <c r="AE318" s="179">
        <f t="shared" si="75"/>
        <v>1</v>
      </c>
      <c r="AF318" s="179">
        <f t="shared" si="75"/>
        <v>1</v>
      </c>
      <c r="AG318" s="179">
        <f t="shared" si="75"/>
        <v>185</v>
      </c>
      <c r="AH318" s="179">
        <f t="shared" si="75"/>
        <v>134</v>
      </c>
      <c r="AI318" s="179">
        <f t="shared" si="75"/>
        <v>39</v>
      </c>
      <c r="AJ318" s="179">
        <f t="shared" si="75"/>
        <v>40</v>
      </c>
      <c r="AK318" s="180">
        <f>AK191-AK255</f>
        <v>2001</v>
      </c>
      <c r="AL318" s="181"/>
      <c r="AM318" s="18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  <c r="BA318" s="31"/>
      <c r="BB318" s="31"/>
      <c r="BC318" s="31"/>
      <c r="BD318" s="31"/>
      <c r="BE318" s="31"/>
      <c r="BF318" s="31"/>
      <c r="BG318" s="31"/>
      <c r="BH318" s="31"/>
      <c r="BI318" s="31"/>
    </row>
    <row r="319" spans="1:61" x14ac:dyDescent="0.2">
      <c r="A319" s="110" t="s">
        <v>1</v>
      </c>
      <c r="B319" s="179">
        <f t="shared" si="75"/>
        <v>63</v>
      </c>
      <c r="C319" s="179">
        <f t="shared" si="75"/>
        <v>6</v>
      </c>
      <c r="D319" s="179">
        <f t="shared" si="75"/>
        <v>0</v>
      </c>
      <c r="E319" s="179">
        <f t="shared" si="75"/>
        <v>8</v>
      </c>
      <c r="F319" s="179">
        <f t="shared" si="75"/>
        <v>12</v>
      </c>
      <c r="G319" s="179">
        <f t="shared" si="75"/>
        <v>3</v>
      </c>
      <c r="H319" s="179">
        <f t="shared" si="75"/>
        <v>0</v>
      </c>
      <c r="I319" s="179">
        <f t="shared" si="75"/>
        <v>0</v>
      </c>
      <c r="J319" s="179">
        <f t="shared" si="75"/>
        <v>2</v>
      </c>
      <c r="K319" s="179">
        <f t="shared" si="75"/>
        <v>0</v>
      </c>
      <c r="L319" s="179">
        <f t="shared" si="75"/>
        <v>9</v>
      </c>
      <c r="M319" s="179">
        <f t="shared" si="75"/>
        <v>0</v>
      </c>
      <c r="N319" s="179">
        <f t="shared" si="75"/>
        <v>0</v>
      </c>
      <c r="O319" s="179">
        <f t="shared" si="75"/>
        <v>0</v>
      </c>
      <c r="P319" s="179">
        <f t="shared" si="75"/>
        <v>0</v>
      </c>
      <c r="Q319" s="179">
        <f t="shared" si="75"/>
        <v>0</v>
      </c>
      <c r="R319" s="179">
        <f t="shared" si="75"/>
        <v>0</v>
      </c>
      <c r="S319" s="179">
        <f t="shared" si="75"/>
        <v>0</v>
      </c>
      <c r="T319" s="179">
        <f t="shared" si="75"/>
        <v>0</v>
      </c>
      <c r="U319" s="179">
        <f t="shared" si="75"/>
        <v>0</v>
      </c>
      <c r="V319" s="179">
        <f t="shared" si="75"/>
        <v>0</v>
      </c>
      <c r="W319" s="179">
        <f t="shared" si="75"/>
        <v>0</v>
      </c>
      <c r="X319" s="179">
        <f t="shared" si="75"/>
        <v>0</v>
      </c>
      <c r="Y319" s="179">
        <f t="shared" si="75"/>
        <v>0</v>
      </c>
      <c r="Z319" s="179">
        <f t="shared" si="75"/>
        <v>0</v>
      </c>
      <c r="AA319" s="179">
        <f t="shared" si="75"/>
        <v>0</v>
      </c>
      <c r="AB319" s="179">
        <f t="shared" si="75"/>
        <v>0</v>
      </c>
      <c r="AC319" s="179">
        <f t="shared" si="75"/>
        <v>0</v>
      </c>
      <c r="AD319" s="179">
        <f t="shared" si="75"/>
        <v>0</v>
      </c>
      <c r="AE319" s="179">
        <f t="shared" si="75"/>
        <v>0</v>
      </c>
      <c r="AF319" s="179">
        <f t="shared" si="75"/>
        <v>0</v>
      </c>
      <c r="AG319" s="179">
        <f t="shared" si="75"/>
        <v>0</v>
      </c>
      <c r="AH319" s="179">
        <f t="shared" si="75"/>
        <v>0</v>
      </c>
      <c r="AI319" s="179">
        <f t="shared" si="75"/>
        <v>15</v>
      </c>
      <c r="AJ319" s="179">
        <f t="shared" si="75"/>
        <v>0</v>
      </c>
      <c r="AK319" s="180">
        <f>AK192-AK256</f>
        <v>118</v>
      </c>
      <c r="AL319" s="181"/>
      <c r="AM319" s="18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  <c r="BA319" s="31"/>
      <c r="BB319" s="31"/>
      <c r="BC319" s="31"/>
      <c r="BD319" s="31"/>
      <c r="BE319" s="31"/>
      <c r="BF319" s="31"/>
      <c r="BG319" s="31"/>
      <c r="BH319" s="31"/>
      <c r="BI319" s="31"/>
    </row>
    <row r="320" spans="1:61" x14ac:dyDescent="0.2">
      <c r="A320" s="154" t="s">
        <v>7</v>
      </c>
      <c r="B320" s="182">
        <f>B317+B318+B319</f>
        <v>1503</v>
      </c>
      <c r="C320" s="182">
        <f t="shared" ref="C320:AJ320" si="76">C317+C318+C319</f>
        <v>170</v>
      </c>
      <c r="D320" s="182">
        <f t="shared" si="76"/>
        <v>155</v>
      </c>
      <c r="E320" s="182">
        <f t="shared" si="76"/>
        <v>29</v>
      </c>
      <c r="F320" s="182">
        <f t="shared" si="76"/>
        <v>22</v>
      </c>
      <c r="G320" s="182">
        <f t="shared" si="76"/>
        <v>4</v>
      </c>
      <c r="H320" s="182">
        <f t="shared" si="76"/>
        <v>1</v>
      </c>
      <c r="I320" s="182">
        <f>I317+I318+I319</f>
        <v>0</v>
      </c>
      <c r="J320" s="182">
        <f>J317+J318+J319</f>
        <v>57</v>
      </c>
      <c r="K320" s="182">
        <f>K317+K318+K319</f>
        <v>0</v>
      </c>
      <c r="L320" s="182">
        <f t="shared" si="76"/>
        <v>74</v>
      </c>
      <c r="M320" s="182">
        <f t="shared" si="76"/>
        <v>3</v>
      </c>
      <c r="N320" s="182">
        <f t="shared" si="76"/>
        <v>5</v>
      </c>
      <c r="O320" s="182">
        <f t="shared" si="76"/>
        <v>1</v>
      </c>
      <c r="P320" s="182">
        <f t="shared" si="76"/>
        <v>26</v>
      </c>
      <c r="Q320" s="182">
        <f t="shared" si="76"/>
        <v>0</v>
      </c>
      <c r="R320" s="183">
        <f t="shared" si="76"/>
        <v>0</v>
      </c>
      <c r="S320" s="183">
        <f t="shared" si="76"/>
        <v>0</v>
      </c>
      <c r="T320" s="183">
        <f t="shared" si="76"/>
        <v>17</v>
      </c>
      <c r="U320" s="183">
        <f t="shared" si="76"/>
        <v>12</v>
      </c>
      <c r="V320" s="183">
        <f t="shared" si="76"/>
        <v>24</v>
      </c>
      <c r="W320" s="183">
        <f t="shared" si="76"/>
        <v>22</v>
      </c>
      <c r="X320" s="183">
        <f t="shared" si="76"/>
        <v>37</v>
      </c>
      <c r="Y320" s="183">
        <f t="shared" si="76"/>
        <v>11</v>
      </c>
      <c r="Z320" s="183">
        <f t="shared" si="76"/>
        <v>54</v>
      </c>
      <c r="AA320" s="183">
        <f t="shared" si="76"/>
        <v>20</v>
      </c>
      <c r="AB320" s="183">
        <f t="shared" si="76"/>
        <v>65</v>
      </c>
      <c r="AC320" s="183">
        <f t="shared" si="76"/>
        <v>1</v>
      </c>
      <c r="AD320" s="183">
        <f t="shared" si="76"/>
        <v>26</v>
      </c>
      <c r="AE320" s="183">
        <f t="shared" si="76"/>
        <v>2</v>
      </c>
      <c r="AF320" s="183">
        <f t="shared" si="76"/>
        <v>1</v>
      </c>
      <c r="AG320" s="183">
        <f t="shared" si="76"/>
        <v>187</v>
      </c>
      <c r="AH320" s="183">
        <f t="shared" si="76"/>
        <v>136</v>
      </c>
      <c r="AI320" s="183">
        <f t="shared" si="76"/>
        <v>91</v>
      </c>
      <c r="AJ320" s="183">
        <f t="shared" si="76"/>
        <v>48</v>
      </c>
      <c r="AK320" s="184">
        <f>SUM(AK317:AK319)</f>
        <v>2804</v>
      </c>
      <c r="AL320" s="181"/>
      <c r="AM320" s="18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  <c r="BA320" s="31"/>
      <c r="BB320" s="31"/>
      <c r="BC320" s="31"/>
      <c r="BD320" s="31"/>
      <c r="BE320" s="31"/>
      <c r="BF320" s="31"/>
      <c r="BG320" s="31"/>
      <c r="BH320" s="31"/>
      <c r="BI320" s="31"/>
    </row>
    <row r="321" spans="1:61" x14ac:dyDescent="0.2">
      <c r="A321" s="120" t="s">
        <v>66</v>
      </c>
      <c r="B321" s="185" t="s">
        <v>138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185"/>
      <c r="M321" s="185"/>
      <c r="N321" s="185"/>
      <c r="O321" s="185"/>
      <c r="P321" s="185"/>
      <c r="Q321" s="185"/>
      <c r="R321" s="186"/>
      <c r="S321" s="186"/>
      <c r="T321" s="186"/>
      <c r="U321" s="186"/>
      <c r="V321" s="186"/>
      <c r="W321" s="186"/>
      <c r="X321" s="186"/>
      <c r="Y321" s="186"/>
      <c r="Z321" s="186"/>
      <c r="AA321" s="186"/>
      <c r="AB321" s="186"/>
      <c r="AC321" s="186"/>
      <c r="AD321" s="186"/>
      <c r="AE321" s="186"/>
      <c r="AF321" s="186"/>
      <c r="AG321" s="186"/>
      <c r="AH321" s="186"/>
      <c r="AI321" s="186"/>
      <c r="AJ321" s="186"/>
      <c r="AK321" s="180"/>
      <c r="AL321" s="181"/>
      <c r="AM321" s="18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  <c r="BG321" s="31"/>
      <c r="BH321" s="31"/>
      <c r="BI321" s="31"/>
    </row>
    <row r="322" spans="1:61" x14ac:dyDescent="0.2">
      <c r="A322" s="110" t="s">
        <v>92</v>
      </c>
      <c r="B322" s="179">
        <f t="shared" ref="B322:AK324" si="77">B195-B259</f>
        <v>504</v>
      </c>
      <c r="C322" s="179">
        <f t="shared" si="77"/>
        <v>20</v>
      </c>
      <c r="D322" s="179">
        <f t="shared" si="77"/>
        <v>46</v>
      </c>
      <c r="E322" s="179">
        <f t="shared" si="77"/>
        <v>2</v>
      </c>
      <c r="F322" s="179">
        <f t="shared" si="77"/>
        <v>3</v>
      </c>
      <c r="G322" s="179">
        <f t="shared" si="77"/>
        <v>0</v>
      </c>
      <c r="H322" s="179">
        <f t="shared" si="77"/>
        <v>0</v>
      </c>
      <c r="I322" s="179">
        <f t="shared" si="77"/>
        <v>0</v>
      </c>
      <c r="J322" s="179">
        <f t="shared" si="77"/>
        <v>9</v>
      </c>
      <c r="K322" s="179">
        <f t="shared" si="77"/>
        <v>0</v>
      </c>
      <c r="L322" s="179">
        <f t="shared" si="77"/>
        <v>6</v>
      </c>
      <c r="M322" s="179">
        <f t="shared" si="77"/>
        <v>6</v>
      </c>
      <c r="N322" s="179">
        <f t="shared" si="77"/>
        <v>0</v>
      </c>
      <c r="O322" s="179">
        <f t="shared" si="77"/>
        <v>0</v>
      </c>
      <c r="P322" s="179">
        <f t="shared" si="77"/>
        <v>37</v>
      </c>
      <c r="Q322" s="179">
        <f t="shared" si="77"/>
        <v>1</v>
      </c>
      <c r="R322" s="187">
        <f t="shared" si="77"/>
        <v>1</v>
      </c>
      <c r="S322" s="179">
        <f t="shared" si="77"/>
        <v>0</v>
      </c>
      <c r="T322" s="179">
        <f t="shared" si="77"/>
        <v>5</v>
      </c>
      <c r="U322" s="179">
        <f t="shared" si="77"/>
        <v>8</v>
      </c>
      <c r="V322" s="179">
        <f t="shared" si="77"/>
        <v>3</v>
      </c>
      <c r="W322" s="179">
        <f t="shared" si="77"/>
        <v>6</v>
      </c>
      <c r="X322" s="179">
        <f t="shared" si="77"/>
        <v>7</v>
      </c>
      <c r="Y322" s="179">
        <f t="shared" si="77"/>
        <v>3</v>
      </c>
      <c r="Z322" s="179">
        <f t="shared" si="77"/>
        <v>7</v>
      </c>
      <c r="AA322" s="179">
        <f t="shared" si="77"/>
        <v>5</v>
      </c>
      <c r="AB322" s="179">
        <f t="shared" si="77"/>
        <v>73</v>
      </c>
      <c r="AC322" s="179">
        <f t="shared" si="77"/>
        <v>2</v>
      </c>
      <c r="AD322" s="179">
        <f t="shared" si="77"/>
        <v>10</v>
      </c>
      <c r="AE322" s="179">
        <f t="shared" si="77"/>
        <v>1</v>
      </c>
      <c r="AF322" s="179">
        <f t="shared" si="77"/>
        <v>3</v>
      </c>
      <c r="AG322" s="179">
        <f t="shared" si="77"/>
        <v>4</v>
      </c>
      <c r="AH322" s="179">
        <f t="shared" si="77"/>
        <v>4</v>
      </c>
      <c r="AI322" s="179">
        <f t="shared" si="77"/>
        <v>35</v>
      </c>
      <c r="AJ322" s="179">
        <f t="shared" si="77"/>
        <v>13</v>
      </c>
      <c r="AK322" s="180">
        <f t="shared" si="77"/>
        <v>824</v>
      </c>
      <c r="AL322" s="181"/>
      <c r="AM322" s="18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  <c r="BG322" s="31"/>
      <c r="BH322" s="31"/>
      <c r="BI322" s="31"/>
    </row>
    <row r="323" spans="1:61" x14ac:dyDescent="0.2">
      <c r="A323" s="110" t="s">
        <v>93</v>
      </c>
      <c r="B323" s="179">
        <f t="shared" si="77"/>
        <v>1391</v>
      </c>
      <c r="C323" s="179">
        <f t="shared" si="77"/>
        <v>89</v>
      </c>
      <c r="D323" s="179">
        <f t="shared" si="77"/>
        <v>107</v>
      </c>
      <c r="E323" s="179">
        <f t="shared" si="77"/>
        <v>11</v>
      </c>
      <c r="F323" s="179">
        <f t="shared" si="77"/>
        <v>7</v>
      </c>
      <c r="G323" s="179">
        <f t="shared" si="77"/>
        <v>0</v>
      </c>
      <c r="H323" s="179">
        <f t="shared" si="77"/>
        <v>2</v>
      </c>
      <c r="I323" s="179">
        <f t="shared" si="77"/>
        <v>2</v>
      </c>
      <c r="J323" s="179">
        <f t="shared" si="77"/>
        <v>61</v>
      </c>
      <c r="K323" s="179">
        <f t="shared" si="77"/>
        <v>0</v>
      </c>
      <c r="L323" s="179">
        <f t="shared" si="77"/>
        <v>47</v>
      </c>
      <c r="M323" s="179">
        <f t="shared" si="77"/>
        <v>2</v>
      </c>
      <c r="N323" s="179">
        <f t="shared" si="77"/>
        <v>7</v>
      </c>
      <c r="O323" s="179">
        <f t="shared" si="77"/>
        <v>0</v>
      </c>
      <c r="P323" s="179">
        <f t="shared" si="77"/>
        <v>27</v>
      </c>
      <c r="Q323" s="179">
        <f t="shared" si="77"/>
        <v>0</v>
      </c>
      <c r="R323" s="187">
        <f t="shared" si="77"/>
        <v>0</v>
      </c>
      <c r="S323" s="179">
        <f t="shared" si="77"/>
        <v>1</v>
      </c>
      <c r="T323" s="179">
        <f t="shared" si="77"/>
        <v>13</v>
      </c>
      <c r="U323" s="179">
        <f t="shared" si="77"/>
        <v>13</v>
      </c>
      <c r="V323" s="179">
        <f t="shared" si="77"/>
        <v>15</v>
      </c>
      <c r="W323" s="179">
        <f t="shared" si="77"/>
        <v>15</v>
      </c>
      <c r="X323" s="179">
        <f t="shared" si="77"/>
        <v>19</v>
      </c>
      <c r="Y323" s="179">
        <f t="shared" si="77"/>
        <v>3</v>
      </c>
      <c r="Z323" s="179">
        <f t="shared" si="77"/>
        <v>24</v>
      </c>
      <c r="AA323" s="179">
        <f t="shared" si="77"/>
        <v>5</v>
      </c>
      <c r="AB323" s="179">
        <f t="shared" si="77"/>
        <v>19</v>
      </c>
      <c r="AC323" s="179">
        <f t="shared" si="77"/>
        <v>3</v>
      </c>
      <c r="AD323" s="179">
        <f t="shared" si="77"/>
        <v>16</v>
      </c>
      <c r="AE323" s="179">
        <f t="shared" si="77"/>
        <v>5</v>
      </c>
      <c r="AF323" s="179">
        <f t="shared" si="77"/>
        <v>1</v>
      </c>
      <c r="AG323" s="179">
        <f t="shared" si="77"/>
        <v>143</v>
      </c>
      <c r="AH323" s="179">
        <f t="shared" si="77"/>
        <v>135</v>
      </c>
      <c r="AI323" s="179">
        <f t="shared" si="77"/>
        <v>29</v>
      </c>
      <c r="AJ323" s="179">
        <f t="shared" si="77"/>
        <v>33</v>
      </c>
      <c r="AK323" s="180">
        <f t="shared" si="77"/>
        <v>2245</v>
      </c>
      <c r="AL323" s="181"/>
      <c r="AM323" s="18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  <c r="BG323" s="31"/>
      <c r="BH323" s="31"/>
      <c r="BI323" s="31"/>
    </row>
    <row r="324" spans="1:61" x14ac:dyDescent="0.2">
      <c r="A324" s="110" t="s">
        <v>1</v>
      </c>
      <c r="B324" s="179">
        <f t="shared" si="77"/>
        <v>108</v>
      </c>
      <c r="C324" s="179">
        <f t="shared" si="77"/>
        <v>5</v>
      </c>
      <c r="D324" s="179">
        <f t="shared" si="77"/>
        <v>16</v>
      </c>
      <c r="E324" s="179">
        <f t="shared" si="77"/>
        <v>3</v>
      </c>
      <c r="F324" s="179">
        <f t="shared" si="77"/>
        <v>4</v>
      </c>
      <c r="G324" s="179">
        <f t="shared" si="77"/>
        <v>4</v>
      </c>
      <c r="H324" s="179">
        <f t="shared" si="77"/>
        <v>6</v>
      </c>
      <c r="I324" s="179">
        <f t="shared" si="77"/>
        <v>0</v>
      </c>
      <c r="J324" s="179">
        <f t="shared" si="77"/>
        <v>14</v>
      </c>
      <c r="K324" s="179">
        <f t="shared" si="77"/>
        <v>0</v>
      </c>
      <c r="L324" s="179">
        <f t="shared" si="77"/>
        <v>17</v>
      </c>
      <c r="M324" s="179">
        <f t="shared" si="77"/>
        <v>0</v>
      </c>
      <c r="N324" s="179">
        <f t="shared" si="77"/>
        <v>0</v>
      </c>
      <c r="O324" s="179">
        <f t="shared" si="77"/>
        <v>0</v>
      </c>
      <c r="P324" s="179">
        <f t="shared" si="77"/>
        <v>0</v>
      </c>
      <c r="Q324" s="179">
        <f t="shared" si="77"/>
        <v>0</v>
      </c>
      <c r="R324" s="187">
        <f t="shared" si="77"/>
        <v>0</v>
      </c>
      <c r="S324" s="179">
        <f t="shared" si="77"/>
        <v>0</v>
      </c>
      <c r="T324" s="179">
        <f t="shared" si="77"/>
        <v>0</v>
      </c>
      <c r="U324" s="179">
        <f t="shared" si="77"/>
        <v>0</v>
      </c>
      <c r="V324" s="179">
        <f t="shared" si="77"/>
        <v>0</v>
      </c>
      <c r="W324" s="179">
        <f t="shared" si="77"/>
        <v>0</v>
      </c>
      <c r="X324" s="179">
        <f t="shared" si="77"/>
        <v>0</v>
      </c>
      <c r="Y324" s="179">
        <f t="shared" si="77"/>
        <v>0</v>
      </c>
      <c r="Z324" s="179">
        <f t="shared" si="77"/>
        <v>0</v>
      </c>
      <c r="AA324" s="179">
        <f t="shared" si="77"/>
        <v>0</v>
      </c>
      <c r="AB324" s="179">
        <f t="shared" si="77"/>
        <v>0</v>
      </c>
      <c r="AC324" s="179">
        <f t="shared" si="77"/>
        <v>0</v>
      </c>
      <c r="AD324" s="179">
        <f t="shared" si="77"/>
        <v>0</v>
      </c>
      <c r="AE324" s="179">
        <f t="shared" si="77"/>
        <v>0</v>
      </c>
      <c r="AF324" s="179">
        <f t="shared" si="77"/>
        <v>0</v>
      </c>
      <c r="AG324" s="179">
        <f t="shared" si="77"/>
        <v>0</v>
      </c>
      <c r="AH324" s="179">
        <f t="shared" si="77"/>
        <v>0</v>
      </c>
      <c r="AI324" s="179">
        <f t="shared" si="77"/>
        <v>3</v>
      </c>
      <c r="AJ324" s="179">
        <f t="shared" si="77"/>
        <v>11</v>
      </c>
      <c r="AK324" s="180">
        <f t="shared" si="77"/>
        <v>191</v>
      </c>
      <c r="AL324" s="181"/>
      <c r="AM324" s="18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  <c r="BA324" s="31"/>
      <c r="BB324" s="31"/>
      <c r="BC324" s="31"/>
      <c r="BD324" s="31"/>
      <c r="BE324" s="31"/>
      <c r="BF324" s="31"/>
      <c r="BG324" s="31"/>
      <c r="BH324" s="31"/>
      <c r="BI324" s="31"/>
    </row>
    <row r="325" spans="1:61" x14ac:dyDescent="0.2">
      <c r="A325" s="154" t="s">
        <v>7</v>
      </c>
      <c r="B325" s="182">
        <f t="shared" ref="B325:AK325" si="78">B322+B323+B324</f>
        <v>2003</v>
      </c>
      <c r="C325" s="182">
        <f t="shared" si="78"/>
        <v>114</v>
      </c>
      <c r="D325" s="182">
        <f t="shared" si="78"/>
        <v>169</v>
      </c>
      <c r="E325" s="182">
        <f t="shared" si="78"/>
        <v>16</v>
      </c>
      <c r="F325" s="182">
        <f t="shared" si="78"/>
        <v>14</v>
      </c>
      <c r="G325" s="182">
        <f t="shared" si="78"/>
        <v>4</v>
      </c>
      <c r="H325" s="182">
        <f t="shared" si="78"/>
        <v>8</v>
      </c>
      <c r="I325" s="182">
        <f>I322+I323+I324</f>
        <v>2</v>
      </c>
      <c r="J325" s="182">
        <f>J322+J323+J324</f>
        <v>84</v>
      </c>
      <c r="K325" s="182">
        <f>K322+K323+K324</f>
        <v>0</v>
      </c>
      <c r="L325" s="182">
        <f t="shared" si="78"/>
        <v>70</v>
      </c>
      <c r="M325" s="182">
        <f t="shared" si="78"/>
        <v>8</v>
      </c>
      <c r="N325" s="182">
        <f t="shared" si="78"/>
        <v>7</v>
      </c>
      <c r="O325" s="182">
        <f t="shared" si="78"/>
        <v>0</v>
      </c>
      <c r="P325" s="182">
        <f t="shared" si="78"/>
        <v>64</v>
      </c>
      <c r="Q325" s="182">
        <f t="shared" si="78"/>
        <v>1</v>
      </c>
      <c r="R325" s="183">
        <f t="shared" si="78"/>
        <v>1</v>
      </c>
      <c r="S325" s="182">
        <f t="shared" si="78"/>
        <v>1</v>
      </c>
      <c r="T325" s="182">
        <f t="shared" si="78"/>
        <v>18</v>
      </c>
      <c r="U325" s="182">
        <f t="shared" si="78"/>
        <v>21</v>
      </c>
      <c r="V325" s="182">
        <f t="shared" si="78"/>
        <v>18</v>
      </c>
      <c r="W325" s="182">
        <f t="shared" si="78"/>
        <v>21</v>
      </c>
      <c r="X325" s="182">
        <f t="shared" si="78"/>
        <v>26</v>
      </c>
      <c r="Y325" s="182">
        <f t="shared" si="78"/>
        <v>6</v>
      </c>
      <c r="Z325" s="182">
        <f t="shared" si="78"/>
        <v>31</v>
      </c>
      <c r="AA325" s="182">
        <f t="shared" si="78"/>
        <v>10</v>
      </c>
      <c r="AB325" s="182">
        <f t="shared" si="78"/>
        <v>92</v>
      </c>
      <c r="AC325" s="182">
        <f t="shared" si="78"/>
        <v>5</v>
      </c>
      <c r="AD325" s="182">
        <f t="shared" si="78"/>
        <v>26</v>
      </c>
      <c r="AE325" s="182">
        <f t="shared" si="78"/>
        <v>6</v>
      </c>
      <c r="AF325" s="182">
        <f t="shared" si="78"/>
        <v>4</v>
      </c>
      <c r="AG325" s="182">
        <f t="shared" si="78"/>
        <v>147</v>
      </c>
      <c r="AH325" s="182">
        <f t="shared" si="78"/>
        <v>139</v>
      </c>
      <c r="AI325" s="182">
        <f t="shared" si="78"/>
        <v>67</v>
      </c>
      <c r="AJ325" s="182">
        <f t="shared" si="78"/>
        <v>57</v>
      </c>
      <c r="AK325" s="184">
        <f t="shared" si="78"/>
        <v>3260</v>
      </c>
      <c r="AL325" s="181"/>
      <c r="AM325" s="18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  <c r="BA325" s="31"/>
      <c r="BB325" s="31"/>
      <c r="BC325" s="31"/>
      <c r="BD325" s="31"/>
      <c r="BE325" s="31"/>
      <c r="BF325" s="31"/>
      <c r="BG325" s="31"/>
      <c r="BH325" s="31"/>
      <c r="BI325" s="31"/>
    </row>
    <row r="326" spans="1:61" x14ac:dyDescent="0.2">
      <c r="A326" s="120" t="s">
        <v>67</v>
      </c>
      <c r="B326" s="185"/>
      <c r="C326" s="185"/>
      <c r="D326" s="185"/>
      <c r="E326" s="185"/>
      <c r="F326" s="185"/>
      <c r="G326" s="185"/>
      <c r="H326" s="185"/>
      <c r="I326" s="185"/>
      <c r="J326" s="185"/>
      <c r="K326" s="185"/>
      <c r="L326" s="185"/>
      <c r="M326" s="185"/>
      <c r="N326" s="185"/>
      <c r="O326" s="185"/>
      <c r="P326" s="185"/>
      <c r="Q326" s="185"/>
      <c r="R326" s="186"/>
      <c r="S326" s="185"/>
      <c r="T326" s="185"/>
      <c r="U326" s="185"/>
      <c r="V326" s="185"/>
      <c r="W326" s="185"/>
      <c r="X326" s="185"/>
      <c r="Y326" s="185"/>
      <c r="Z326" s="185"/>
      <c r="AA326" s="185"/>
      <c r="AB326" s="185"/>
      <c r="AC326" s="185"/>
      <c r="AD326" s="185"/>
      <c r="AE326" s="185"/>
      <c r="AF326" s="185"/>
      <c r="AG326" s="185"/>
      <c r="AH326" s="185"/>
      <c r="AI326" s="185"/>
      <c r="AJ326" s="185"/>
      <c r="AK326" s="180"/>
      <c r="AL326" s="181"/>
      <c r="AM326" s="18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  <c r="BA326" s="31"/>
      <c r="BB326" s="31"/>
      <c r="BC326" s="31"/>
      <c r="BD326" s="31"/>
      <c r="BE326" s="31"/>
      <c r="BF326" s="31"/>
      <c r="BG326" s="31"/>
      <c r="BH326" s="31"/>
      <c r="BI326" s="31"/>
    </row>
    <row r="327" spans="1:61" x14ac:dyDescent="0.2">
      <c r="A327" s="110" t="s">
        <v>92</v>
      </c>
      <c r="B327" s="179">
        <f t="shared" ref="B327:AJ329" si="79">B200-B264</f>
        <v>37</v>
      </c>
      <c r="C327" s="179">
        <f t="shared" si="79"/>
        <v>4</v>
      </c>
      <c r="D327" s="179">
        <f t="shared" si="79"/>
        <v>0</v>
      </c>
      <c r="E327" s="179">
        <f t="shared" si="79"/>
        <v>0</v>
      </c>
      <c r="F327" s="179">
        <f t="shared" si="79"/>
        <v>0</v>
      </c>
      <c r="G327" s="179">
        <f t="shared" si="79"/>
        <v>0</v>
      </c>
      <c r="H327" s="179">
        <f t="shared" si="79"/>
        <v>0</v>
      </c>
      <c r="I327" s="179">
        <f t="shared" si="79"/>
        <v>0</v>
      </c>
      <c r="J327" s="179">
        <f t="shared" si="79"/>
        <v>0</v>
      </c>
      <c r="K327" s="179">
        <f t="shared" si="79"/>
        <v>0</v>
      </c>
      <c r="L327" s="179">
        <f t="shared" si="79"/>
        <v>0</v>
      </c>
      <c r="M327" s="179">
        <f t="shared" si="79"/>
        <v>0</v>
      </c>
      <c r="N327" s="179">
        <f t="shared" si="79"/>
        <v>0</v>
      </c>
      <c r="O327" s="179">
        <f t="shared" si="79"/>
        <v>0</v>
      </c>
      <c r="P327" s="179">
        <f t="shared" si="79"/>
        <v>0</v>
      </c>
      <c r="Q327" s="179">
        <f t="shared" si="79"/>
        <v>0</v>
      </c>
      <c r="R327" s="187">
        <f t="shared" si="79"/>
        <v>0</v>
      </c>
      <c r="S327" s="179">
        <f t="shared" si="79"/>
        <v>0</v>
      </c>
      <c r="T327" s="179">
        <f t="shared" si="79"/>
        <v>0</v>
      </c>
      <c r="U327" s="179">
        <f t="shared" si="79"/>
        <v>0</v>
      </c>
      <c r="V327" s="179">
        <f t="shared" si="79"/>
        <v>0</v>
      </c>
      <c r="W327" s="179">
        <f t="shared" si="79"/>
        <v>0</v>
      </c>
      <c r="X327" s="179">
        <f t="shared" si="79"/>
        <v>0</v>
      </c>
      <c r="Y327" s="179">
        <f t="shared" si="79"/>
        <v>0</v>
      </c>
      <c r="Z327" s="179">
        <f t="shared" si="79"/>
        <v>2</v>
      </c>
      <c r="AA327" s="179">
        <f t="shared" si="79"/>
        <v>0</v>
      </c>
      <c r="AB327" s="179">
        <f t="shared" si="79"/>
        <v>4</v>
      </c>
      <c r="AC327" s="179">
        <f t="shared" si="79"/>
        <v>0</v>
      </c>
      <c r="AD327" s="179">
        <f t="shared" si="79"/>
        <v>0</v>
      </c>
      <c r="AE327" s="179">
        <f t="shared" si="79"/>
        <v>1</v>
      </c>
      <c r="AF327" s="179">
        <f t="shared" si="79"/>
        <v>1</v>
      </c>
      <c r="AG327" s="179">
        <f t="shared" si="79"/>
        <v>0</v>
      </c>
      <c r="AH327" s="179">
        <f t="shared" si="79"/>
        <v>0</v>
      </c>
      <c r="AI327" s="179">
        <f t="shared" si="79"/>
        <v>3</v>
      </c>
      <c r="AJ327" s="179">
        <f t="shared" si="79"/>
        <v>0</v>
      </c>
      <c r="AK327" s="180">
        <f>SUM(B327:AJ327)</f>
        <v>52</v>
      </c>
      <c r="AL327" s="181"/>
      <c r="AM327" s="18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  <c r="BA327" s="31"/>
      <c r="BB327" s="31"/>
      <c r="BC327" s="31"/>
      <c r="BD327" s="31"/>
      <c r="BE327" s="31"/>
      <c r="BF327" s="31"/>
      <c r="BG327" s="31"/>
      <c r="BH327" s="31"/>
      <c r="BI327" s="31"/>
    </row>
    <row r="328" spans="1:61" x14ac:dyDescent="0.2">
      <c r="A328" s="110" t="s">
        <v>93</v>
      </c>
      <c r="B328" s="179">
        <f t="shared" si="79"/>
        <v>1651</v>
      </c>
      <c r="C328" s="179">
        <f t="shared" si="79"/>
        <v>94</v>
      </c>
      <c r="D328" s="179">
        <f t="shared" si="79"/>
        <v>162</v>
      </c>
      <c r="E328" s="179">
        <f t="shared" si="79"/>
        <v>21</v>
      </c>
      <c r="F328" s="179">
        <f t="shared" si="79"/>
        <v>18</v>
      </c>
      <c r="G328" s="179">
        <f t="shared" si="79"/>
        <v>4</v>
      </c>
      <c r="H328" s="179">
        <f t="shared" si="79"/>
        <v>6</v>
      </c>
      <c r="I328" s="179">
        <f t="shared" si="79"/>
        <v>1</v>
      </c>
      <c r="J328" s="179">
        <f t="shared" si="79"/>
        <v>65</v>
      </c>
      <c r="K328" s="179">
        <f t="shared" si="79"/>
        <v>0</v>
      </c>
      <c r="L328" s="179">
        <f t="shared" si="79"/>
        <v>61</v>
      </c>
      <c r="M328" s="179">
        <f t="shared" si="79"/>
        <v>0</v>
      </c>
      <c r="N328" s="179">
        <f t="shared" si="79"/>
        <v>1</v>
      </c>
      <c r="O328" s="179">
        <f t="shared" si="79"/>
        <v>2</v>
      </c>
      <c r="P328" s="179">
        <f t="shared" si="79"/>
        <v>31</v>
      </c>
      <c r="Q328" s="179">
        <f t="shared" si="79"/>
        <v>3</v>
      </c>
      <c r="R328" s="187">
        <f t="shared" si="79"/>
        <v>0</v>
      </c>
      <c r="S328" s="179">
        <f t="shared" si="79"/>
        <v>0</v>
      </c>
      <c r="T328" s="179">
        <f t="shared" si="79"/>
        <v>17</v>
      </c>
      <c r="U328" s="179">
        <f t="shared" si="79"/>
        <v>16</v>
      </c>
      <c r="V328" s="179">
        <f t="shared" si="79"/>
        <v>23</v>
      </c>
      <c r="W328" s="179">
        <f t="shared" si="79"/>
        <v>21</v>
      </c>
      <c r="X328" s="179">
        <f t="shared" si="79"/>
        <v>38</v>
      </c>
      <c r="Y328" s="179">
        <f t="shared" si="79"/>
        <v>5</v>
      </c>
      <c r="Z328" s="179">
        <f t="shared" si="79"/>
        <v>50</v>
      </c>
      <c r="AA328" s="179">
        <f t="shared" si="79"/>
        <v>22</v>
      </c>
      <c r="AB328" s="179">
        <f t="shared" si="79"/>
        <v>13</v>
      </c>
      <c r="AC328" s="179">
        <f t="shared" si="79"/>
        <v>0</v>
      </c>
      <c r="AD328" s="179">
        <f t="shared" si="79"/>
        <v>20</v>
      </c>
      <c r="AE328" s="179">
        <f t="shared" si="79"/>
        <v>5</v>
      </c>
      <c r="AF328" s="179">
        <f t="shared" si="79"/>
        <v>7</v>
      </c>
      <c r="AG328" s="179">
        <f t="shared" si="79"/>
        <v>265</v>
      </c>
      <c r="AH328" s="179">
        <f t="shared" si="79"/>
        <v>276</v>
      </c>
      <c r="AI328" s="179">
        <f t="shared" si="79"/>
        <v>33</v>
      </c>
      <c r="AJ328" s="179">
        <f t="shared" si="79"/>
        <v>36</v>
      </c>
      <c r="AK328" s="180">
        <f>SUM(B328:AJ328)</f>
        <v>2967</v>
      </c>
      <c r="AL328" s="181"/>
      <c r="AM328" s="18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  <c r="BA328" s="31"/>
      <c r="BB328" s="31"/>
      <c r="BC328" s="31"/>
      <c r="BD328" s="31"/>
      <c r="BE328" s="31"/>
      <c r="BF328" s="31"/>
      <c r="BG328" s="31"/>
      <c r="BH328" s="31"/>
      <c r="BI328" s="31"/>
    </row>
    <row r="329" spans="1:61" x14ac:dyDescent="0.2">
      <c r="A329" s="110" t="s">
        <v>1</v>
      </c>
      <c r="B329" s="179">
        <f t="shared" si="79"/>
        <v>95</v>
      </c>
      <c r="C329" s="179">
        <f t="shared" si="79"/>
        <v>4</v>
      </c>
      <c r="D329" s="179">
        <f t="shared" si="79"/>
        <v>2</v>
      </c>
      <c r="E329" s="179">
        <f t="shared" si="79"/>
        <v>0</v>
      </c>
      <c r="F329" s="179">
        <f t="shared" si="79"/>
        <v>6</v>
      </c>
      <c r="G329" s="179">
        <f t="shared" si="79"/>
        <v>0</v>
      </c>
      <c r="H329" s="179">
        <f t="shared" si="79"/>
        <v>3</v>
      </c>
      <c r="I329" s="179">
        <f t="shared" si="79"/>
        <v>0</v>
      </c>
      <c r="J329" s="179">
        <f t="shared" si="79"/>
        <v>9</v>
      </c>
      <c r="K329" s="179">
        <f t="shared" si="79"/>
        <v>0</v>
      </c>
      <c r="L329" s="179">
        <f t="shared" si="79"/>
        <v>13</v>
      </c>
      <c r="M329" s="179">
        <f t="shared" si="79"/>
        <v>0</v>
      </c>
      <c r="N329" s="179">
        <f t="shared" si="79"/>
        <v>0</v>
      </c>
      <c r="O329" s="179">
        <f t="shared" si="79"/>
        <v>0</v>
      </c>
      <c r="P329" s="179">
        <f t="shared" si="79"/>
        <v>0</v>
      </c>
      <c r="Q329" s="179">
        <f t="shared" si="79"/>
        <v>0</v>
      </c>
      <c r="R329" s="179">
        <f t="shared" si="79"/>
        <v>0</v>
      </c>
      <c r="S329" s="179">
        <f t="shared" si="79"/>
        <v>0</v>
      </c>
      <c r="T329" s="179">
        <f t="shared" si="79"/>
        <v>0</v>
      </c>
      <c r="U329" s="179">
        <f t="shared" si="79"/>
        <v>0</v>
      </c>
      <c r="V329" s="179">
        <f t="shared" si="79"/>
        <v>0</v>
      </c>
      <c r="W329" s="179">
        <f t="shared" si="79"/>
        <v>0</v>
      </c>
      <c r="X329" s="179">
        <f t="shared" si="79"/>
        <v>0</v>
      </c>
      <c r="Y329" s="179">
        <f t="shared" si="79"/>
        <v>0</v>
      </c>
      <c r="Z329" s="179">
        <f t="shared" si="79"/>
        <v>0</v>
      </c>
      <c r="AA329" s="179">
        <f t="shared" si="79"/>
        <v>0</v>
      </c>
      <c r="AB329" s="179">
        <f t="shared" si="79"/>
        <v>0</v>
      </c>
      <c r="AC329" s="179">
        <f t="shared" si="79"/>
        <v>0</v>
      </c>
      <c r="AD329" s="179">
        <f t="shared" si="79"/>
        <v>0</v>
      </c>
      <c r="AE329" s="179">
        <f t="shared" si="79"/>
        <v>0</v>
      </c>
      <c r="AF329" s="179">
        <f t="shared" si="79"/>
        <v>0</v>
      </c>
      <c r="AG329" s="179">
        <f t="shared" si="79"/>
        <v>0</v>
      </c>
      <c r="AH329" s="179">
        <f t="shared" si="79"/>
        <v>0</v>
      </c>
      <c r="AI329" s="179">
        <f t="shared" si="79"/>
        <v>24</v>
      </c>
      <c r="AJ329" s="179">
        <f t="shared" si="79"/>
        <v>6</v>
      </c>
      <c r="AK329" s="180">
        <f>SUM(B329:AJ329)</f>
        <v>162</v>
      </c>
      <c r="AL329" s="181"/>
      <c r="AM329" s="18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  <c r="BC329" s="31"/>
      <c r="BD329" s="31"/>
      <c r="BE329" s="31"/>
      <c r="BF329" s="31"/>
      <c r="BG329" s="31"/>
      <c r="BH329" s="31"/>
      <c r="BI329" s="31"/>
    </row>
    <row r="330" spans="1:61" x14ac:dyDescent="0.2">
      <c r="A330" s="154" t="s">
        <v>7</v>
      </c>
      <c r="B330" s="182">
        <f t="shared" ref="B330:AK330" si="80">B327+B328+B329</f>
        <v>1783</v>
      </c>
      <c r="C330" s="182">
        <f t="shared" si="80"/>
        <v>102</v>
      </c>
      <c r="D330" s="182">
        <f t="shared" si="80"/>
        <v>164</v>
      </c>
      <c r="E330" s="182">
        <f t="shared" si="80"/>
        <v>21</v>
      </c>
      <c r="F330" s="182">
        <f t="shared" si="80"/>
        <v>24</v>
      </c>
      <c r="G330" s="182">
        <f t="shared" si="80"/>
        <v>4</v>
      </c>
      <c r="H330" s="182">
        <f t="shared" si="80"/>
        <v>9</v>
      </c>
      <c r="I330" s="182">
        <f>I327+I328+I329</f>
        <v>1</v>
      </c>
      <c r="J330" s="182">
        <f>J327+J328+J329</f>
        <v>74</v>
      </c>
      <c r="K330" s="182">
        <f>K327+K328+K329</f>
        <v>0</v>
      </c>
      <c r="L330" s="182">
        <f t="shared" si="80"/>
        <v>74</v>
      </c>
      <c r="M330" s="182">
        <f t="shared" si="80"/>
        <v>0</v>
      </c>
      <c r="N330" s="182">
        <f t="shared" si="80"/>
        <v>1</v>
      </c>
      <c r="O330" s="182">
        <f t="shared" si="80"/>
        <v>2</v>
      </c>
      <c r="P330" s="182">
        <f t="shared" si="80"/>
        <v>31</v>
      </c>
      <c r="Q330" s="182">
        <f t="shared" si="80"/>
        <v>3</v>
      </c>
      <c r="R330" s="183">
        <f t="shared" si="80"/>
        <v>0</v>
      </c>
      <c r="S330" s="182">
        <f t="shared" si="80"/>
        <v>0</v>
      </c>
      <c r="T330" s="182">
        <f t="shared" si="80"/>
        <v>17</v>
      </c>
      <c r="U330" s="182">
        <f t="shared" si="80"/>
        <v>16</v>
      </c>
      <c r="V330" s="182">
        <f t="shared" si="80"/>
        <v>23</v>
      </c>
      <c r="W330" s="182">
        <f t="shared" si="80"/>
        <v>21</v>
      </c>
      <c r="X330" s="182">
        <f t="shared" si="80"/>
        <v>38</v>
      </c>
      <c r="Y330" s="182">
        <f t="shared" si="80"/>
        <v>5</v>
      </c>
      <c r="Z330" s="182">
        <f t="shared" si="80"/>
        <v>52</v>
      </c>
      <c r="AA330" s="182">
        <f t="shared" si="80"/>
        <v>22</v>
      </c>
      <c r="AB330" s="182">
        <f t="shared" si="80"/>
        <v>17</v>
      </c>
      <c r="AC330" s="182">
        <f t="shared" si="80"/>
        <v>0</v>
      </c>
      <c r="AD330" s="182">
        <f t="shared" si="80"/>
        <v>20</v>
      </c>
      <c r="AE330" s="182">
        <f t="shared" si="80"/>
        <v>6</v>
      </c>
      <c r="AF330" s="182">
        <f t="shared" si="80"/>
        <v>8</v>
      </c>
      <c r="AG330" s="182">
        <f t="shared" si="80"/>
        <v>265</v>
      </c>
      <c r="AH330" s="182">
        <f t="shared" si="80"/>
        <v>276</v>
      </c>
      <c r="AI330" s="182">
        <f t="shared" si="80"/>
        <v>60</v>
      </c>
      <c r="AJ330" s="182">
        <f t="shared" si="80"/>
        <v>42</v>
      </c>
      <c r="AK330" s="184">
        <f t="shared" si="80"/>
        <v>3181</v>
      </c>
      <c r="AL330" s="181"/>
      <c r="AM330" s="18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  <c r="BA330" s="31"/>
      <c r="BB330" s="31"/>
      <c r="BC330" s="31"/>
      <c r="BD330" s="31"/>
      <c r="BE330" s="31"/>
      <c r="BF330" s="31"/>
      <c r="BG330" s="31"/>
      <c r="BH330" s="31"/>
      <c r="BI330" s="31"/>
    </row>
    <row r="331" spans="1:61" x14ac:dyDescent="0.2">
      <c r="A331" s="120" t="s">
        <v>68</v>
      </c>
      <c r="B331" s="185"/>
      <c r="C331" s="185"/>
      <c r="D331" s="185"/>
      <c r="E331" s="185"/>
      <c r="F331" s="185"/>
      <c r="G331" s="185"/>
      <c r="H331" s="185"/>
      <c r="I331" s="185"/>
      <c r="J331" s="185"/>
      <c r="K331" s="185"/>
      <c r="L331" s="185"/>
      <c r="M331" s="185"/>
      <c r="N331" s="185"/>
      <c r="O331" s="185"/>
      <c r="P331" s="185"/>
      <c r="Q331" s="185"/>
      <c r="R331" s="186"/>
      <c r="S331" s="186"/>
      <c r="T331" s="186"/>
      <c r="U331" s="186"/>
      <c r="V331" s="186"/>
      <c r="W331" s="186"/>
      <c r="X331" s="186"/>
      <c r="Y331" s="186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8"/>
      <c r="AL331" s="181"/>
      <c r="AM331" s="18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  <c r="BA331" s="31"/>
      <c r="BB331" s="31"/>
      <c r="BC331" s="31"/>
      <c r="BD331" s="31"/>
      <c r="BE331" s="31"/>
      <c r="BF331" s="31"/>
      <c r="BG331" s="31"/>
      <c r="BH331" s="31"/>
      <c r="BI331" s="31"/>
    </row>
    <row r="332" spans="1:61" x14ac:dyDescent="0.2">
      <c r="A332" s="110" t="s">
        <v>92</v>
      </c>
      <c r="B332" s="179">
        <f t="shared" ref="B332:AK334" si="81">B205-B269</f>
        <v>633</v>
      </c>
      <c r="C332" s="179">
        <f t="shared" si="81"/>
        <v>30</v>
      </c>
      <c r="D332" s="179">
        <f t="shared" si="81"/>
        <v>45</v>
      </c>
      <c r="E332" s="179">
        <f t="shared" si="81"/>
        <v>4</v>
      </c>
      <c r="F332" s="179">
        <f t="shared" si="81"/>
        <v>4</v>
      </c>
      <c r="G332" s="179">
        <f t="shared" si="81"/>
        <v>0</v>
      </c>
      <c r="H332" s="179">
        <f t="shared" si="81"/>
        <v>0</v>
      </c>
      <c r="I332" s="179">
        <f t="shared" si="81"/>
        <v>7</v>
      </c>
      <c r="J332" s="179">
        <f t="shared" si="81"/>
        <v>10</v>
      </c>
      <c r="K332" s="179">
        <f t="shared" si="81"/>
        <v>0</v>
      </c>
      <c r="L332" s="179">
        <f t="shared" si="81"/>
        <v>24</v>
      </c>
      <c r="M332" s="179">
        <f t="shared" si="81"/>
        <v>16</v>
      </c>
      <c r="N332" s="179">
        <f t="shared" si="81"/>
        <v>1</v>
      </c>
      <c r="O332" s="179">
        <f t="shared" si="81"/>
        <v>0</v>
      </c>
      <c r="P332" s="179">
        <f t="shared" si="81"/>
        <v>7</v>
      </c>
      <c r="Q332" s="179">
        <f t="shared" si="81"/>
        <v>0</v>
      </c>
      <c r="R332" s="179">
        <f t="shared" si="81"/>
        <v>0</v>
      </c>
      <c r="S332" s="179">
        <f t="shared" si="81"/>
        <v>2</v>
      </c>
      <c r="T332" s="179">
        <f t="shared" si="81"/>
        <v>5</v>
      </c>
      <c r="U332" s="179">
        <f t="shared" si="81"/>
        <v>3</v>
      </c>
      <c r="V332" s="179">
        <f t="shared" si="81"/>
        <v>0</v>
      </c>
      <c r="W332" s="179">
        <f t="shared" si="81"/>
        <v>4</v>
      </c>
      <c r="X332" s="179">
        <f t="shared" si="81"/>
        <v>3</v>
      </c>
      <c r="Y332" s="179">
        <f t="shared" si="81"/>
        <v>3</v>
      </c>
      <c r="Z332" s="179">
        <f t="shared" si="81"/>
        <v>4</v>
      </c>
      <c r="AA332" s="179">
        <f t="shared" si="81"/>
        <v>5</v>
      </c>
      <c r="AB332" s="179">
        <f t="shared" si="81"/>
        <v>48</v>
      </c>
      <c r="AC332" s="179">
        <f t="shared" si="81"/>
        <v>0</v>
      </c>
      <c r="AD332" s="179">
        <f>AD205-AD269</f>
        <v>21</v>
      </c>
      <c r="AE332" s="179">
        <f t="shared" si="81"/>
        <v>0</v>
      </c>
      <c r="AF332" s="179">
        <f t="shared" si="81"/>
        <v>0</v>
      </c>
      <c r="AG332" s="179">
        <f t="shared" si="81"/>
        <v>8</v>
      </c>
      <c r="AH332" s="179">
        <f t="shared" si="81"/>
        <v>2</v>
      </c>
      <c r="AI332" s="179">
        <f t="shared" si="81"/>
        <v>54</v>
      </c>
      <c r="AJ332" s="179">
        <f t="shared" si="81"/>
        <v>10</v>
      </c>
      <c r="AK332" s="180">
        <f t="shared" si="81"/>
        <v>953</v>
      </c>
      <c r="AL332" s="181"/>
      <c r="AM332" s="18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  <c r="BA332" s="31"/>
      <c r="BB332" s="31"/>
      <c r="BC332" s="31"/>
      <c r="BD332" s="31"/>
      <c r="BE332" s="31"/>
      <c r="BF332" s="31"/>
      <c r="BG332" s="31"/>
      <c r="BH332" s="31"/>
      <c r="BI332" s="31"/>
    </row>
    <row r="333" spans="1:61" x14ac:dyDescent="0.2">
      <c r="A333" s="110" t="s">
        <v>93</v>
      </c>
      <c r="B333" s="179">
        <f t="shared" si="81"/>
        <v>1757</v>
      </c>
      <c r="C333" s="179">
        <f t="shared" si="81"/>
        <v>156</v>
      </c>
      <c r="D333" s="179">
        <f t="shared" si="81"/>
        <v>131</v>
      </c>
      <c r="E333" s="179">
        <f t="shared" si="81"/>
        <v>29</v>
      </c>
      <c r="F333" s="179">
        <f t="shared" si="81"/>
        <v>13</v>
      </c>
      <c r="G333" s="179">
        <f t="shared" si="81"/>
        <v>5</v>
      </c>
      <c r="H333" s="179">
        <f t="shared" si="81"/>
        <v>5</v>
      </c>
      <c r="I333" s="179">
        <f t="shared" si="81"/>
        <v>12</v>
      </c>
      <c r="J333" s="179">
        <f t="shared" si="81"/>
        <v>64</v>
      </c>
      <c r="K333" s="179">
        <f t="shared" si="81"/>
        <v>0</v>
      </c>
      <c r="L333" s="179">
        <f t="shared" si="81"/>
        <v>55</v>
      </c>
      <c r="M333" s="179">
        <f t="shared" si="81"/>
        <v>0</v>
      </c>
      <c r="N333" s="179">
        <f t="shared" si="81"/>
        <v>2</v>
      </c>
      <c r="O333" s="179">
        <f t="shared" si="81"/>
        <v>0</v>
      </c>
      <c r="P333" s="179">
        <f t="shared" si="81"/>
        <v>28</v>
      </c>
      <c r="Q333" s="179">
        <f t="shared" si="81"/>
        <v>0</v>
      </c>
      <c r="R333" s="179">
        <f t="shared" si="81"/>
        <v>0</v>
      </c>
      <c r="S333" s="179">
        <f t="shared" si="81"/>
        <v>0</v>
      </c>
      <c r="T333" s="179">
        <f t="shared" si="81"/>
        <v>12</v>
      </c>
      <c r="U333" s="179">
        <f t="shared" si="81"/>
        <v>15</v>
      </c>
      <c r="V333" s="179">
        <f t="shared" si="81"/>
        <v>13</v>
      </c>
      <c r="W333" s="179">
        <f t="shared" si="81"/>
        <v>20</v>
      </c>
      <c r="X333" s="179">
        <f t="shared" si="81"/>
        <v>25</v>
      </c>
      <c r="Y333" s="179">
        <f t="shared" si="81"/>
        <v>5</v>
      </c>
      <c r="Z333" s="179">
        <f t="shared" si="81"/>
        <v>35</v>
      </c>
      <c r="AA333" s="179">
        <f t="shared" si="81"/>
        <v>12</v>
      </c>
      <c r="AB333" s="179">
        <f t="shared" si="81"/>
        <v>17</v>
      </c>
      <c r="AC333" s="179">
        <f t="shared" si="81"/>
        <v>0</v>
      </c>
      <c r="AD333" s="179">
        <f t="shared" si="81"/>
        <v>12</v>
      </c>
      <c r="AE333" s="179">
        <f t="shared" si="81"/>
        <v>3</v>
      </c>
      <c r="AF333" s="179">
        <f t="shared" si="81"/>
        <v>1</v>
      </c>
      <c r="AG333" s="179">
        <f t="shared" si="81"/>
        <v>231</v>
      </c>
      <c r="AH333" s="179">
        <f t="shared" si="81"/>
        <v>182</v>
      </c>
      <c r="AI333" s="179">
        <f t="shared" si="81"/>
        <v>55</v>
      </c>
      <c r="AJ333" s="179">
        <f t="shared" si="81"/>
        <v>34</v>
      </c>
      <c r="AK333" s="180">
        <f t="shared" si="81"/>
        <v>2929</v>
      </c>
      <c r="AL333" s="181"/>
      <c r="AM333" s="18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  <c r="BA333" s="31"/>
      <c r="BB333" s="31"/>
      <c r="BC333" s="31"/>
      <c r="BD333" s="31"/>
      <c r="BE333" s="31"/>
      <c r="BF333" s="31"/>
      <c r="BG333" s="31"/>
      <c r="BH333" s="31"/>
      <c r="BI333" s="31"/>
    </row>
    <row r="334" spans="1:61" x14ac:dyDescent="0.2">
      <c r="A334" s="110" t="s">
        <v>1</v>
      </c>
      <c r="B334" s="179">
        <f t="shared" si="81"/>
        <v>0</v>
      </c>
      <c r="C334" s="179">
        <f t="shared" si="81"/>
        <v>0</v>
      </c>
      <c r="D334" s="179">
        <f t="shared" si="81"/>
        <v>0</v>
      </c>
      <c r="E334" s="179">
        <f t="shared" si="81"/>
        <v>0</v>
      </c>
      <c r="F334" s="179">
        <f t="shared" si="81"/>
        <v>0</v>
      </c>
      <c r="G334" s="179">
        <f t="shared" si="81"/>
        <v>0</v>
      </c>
      <c r="H334" s="179">
        <f t="shared" si="81"/>
        <v>0</v>
      </c>
      <c r="I334" s="179">
        <f t="shared" si="81"/>
        <v>0</v>
      </c>
      <c r="J334" s="179">
        <f t="shared" si="81"/>
        <v>0</v>
      </c>
      <c r="K334" s="179">
        <f t="shared" si="81"/>
        <v>0</v>
      </c>
      <c r="L334" s="179">
        <f t="shared" si="81"/>
        <v>0</v>
      </c>
      <c r="M334" s="179">
        <f t="shared" si="81"/>
        <v>0</v>
      </c>
      <c r="N334" s="179">
        <f t="shared" si="81"/>
        <v>0</v>
      </c>
      <c r="O334" s="179">
        <f t="shared" si="81"/>
        <v>0</v>
      </c>
      <c r="P334" s="179">
        <f t="shared" si="81"/>
        <v>0</v>
      </c>
      <c r="Q334" s="179">
        <f t="shared" si="81"/>
        <v>0</v>
      </c>
      <c r="R334" s="179">
        <f t="shared" si="81"/>
        <v>0</v>
      </c>
      <c r="S334" s="179">
        <f t="shared" si="81"/>
        <v>0</v>
      </c>
      <c r="T334" s="179">
        <f t="shared" si="81"/>
        <v>0</v>
      </c>
      <c r="U334" s="179">
        <f t="shared" si="81"/>
        <v>0</v>
      </c>
      <c r="V334" s="179">
        <f t="shared" si="81"/>
        <v>0</v>
      </c>
      <c r="W334" s="179">
        <f t="shared" si="81"/>
        <v>0</v>
      </c>
      <c r="X334" s="179">
        <f t="shared" si="81"/>
        <v>0</v>
      </c>
      <c r="Y334" s="179">
        <f t="shared" si="81"/>
        <v>0</v>
      </c>
      <c r="Z334" s="179">
        <f t="shared" si="81"/>
        <v>0</v>
      </c>
      <c r="AA334" s="179">
        <f t="shared" si="81"/>
        <v>0</v>
      </c>
      <c r="AB334" s="179">
        <f t="shared" si="81"/>
        <v>0</v>
      </c>
      <c r="AC334" s="179">
        <f t="shared" si="81"/>
        <v>0</v>
      </c>
      <c r="AD334" s="179">
        <f t="shared" si="81"/>
        <v>0</v>
      </c>
      <c r="AE334" s="179">
        <f t="shared" si="81"/>
        <v>0</v>
      </c>
      <c r="AF334" s="179">
        <f t="shared" si="81"/>
        <v>0</v>
      </c>
      <c r="AG334" s="179">
        <f t="shared" si="81"/>
        <v>0</v>
      </c>
      <c r="AH334" s="179">
        <f t="shared" si="81"/>
        <v>0</v>
      </c>
      <c r="AI334" s="179">
        <f t="shared" si="81"/>
        <v>0</v>
      </c>
      <c r="AJ334" s="179">
        <f t="shared" si="81"/>
        <v>0</v>
      </c>
      <c r="AK334" s="180">
        <f t="shared" si="81"/>
        <v>0</v>
      </c>
      <c r="AL334" s="181"/>
      <c r="AM334" s="18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  <c r="BA334" s="31"/>
      <c r="BB334" s="31"/>
      <c r="BC334" s="31"/>
      <c r="BD334" s="31"/>
      <c r="BE334" s="31"/>
      <c r="BF334" s="31"/>
      <c r="BG334" s="31"/>
      <c r="BH334" s="31"/>
      <c r="BI334" s="31"/>
    </row>
    <row r="335" spans="1:61" x14ac:dyDescent="0.2">
      <c r="A335" s="154" t="s">
        <v>7</v>
      </c>
      <c r="B335" s="182">
        <f t="shared" ref="B335:AK335" si="82">B332+B333+B334</f>
        <v>2390</v>
      </c>
      <c r="C335" s="182">
        <f t="shared" si="82"/>
        <v>186</v>
      </c>
      <c r="D335" s="182">
        <f t="shared" si="82"/>
        <v>176</v>
      </c>
      <c r="E335" s="182">
        <f t="shared" si="82"/>
        <v>33</v>
      </c>
      <c r="F335" s="182">
        <f t="shared" si="82"/>
        <v>17</v>
      </c>
      <c r="G335" s="182">
        <f t="shared" si="82"/>
        <v>5</v>
      </c>
      <c r="H335" s="182">
        <f t="shared" si="82"/>
        <v>5</v>
      </c>
      <c r="I335" s="182">
        <f>I332+I333+I334</f>
        <v>19</v>
      </c>
      <c r="J335" s="182">
        <f>J332+J333+J334</f>
        <v>74</v>
      </c>
      <c r="K335" s="182">
        <f>K332+K333+K334</f>
        <v>0</v>
      </c>
      <c r="L335" s="182">
        <f t="shared" si="82"/>
        <v>79</v>
      </c>
      <c r="M335" s="182">
        <f t="shared" si="82"/>
        <v>16</v>
      </c>
      <c r="N335" s="182">
        <f t="shared" si="82"/>
        <v>3</v>
      </c>
      <c r="O335" s="182">
        <f t="shared" si="82"/>
        <v>0</v>
      </c>
      <c r="P335" s="182">
        <f t="shared" si="82"/>
        <v>35</v>
      </c>
      <c r="Q335" s="182">
        <f t="shared" si="82"/>
        <v>0</v>
      </c>
      <c r="R335" s="182">
        <f t="shared" si="82"/>
        <v>0</v>
      </c>
      <c r="S335" s="182">
        <f t="shared" si="82"/>
        <v>2</v>
      </c>
      <c r="T335" s="182">
        <f t="shared" si="82"/>
        <v>17</v>
      </c>
      <c r="U335" s="182">
        <f t="shared" si="82"/>
        <v>18</v>
      </c>
      <c r="V335" s="182">
        <f t="shared" si="82"/>
        <v>13</v>
      </c>
      <c r="W335" s="182">
        <f t="shared" si="82"/>
        <v>24</v>
      </c>
      <c r="X335" s="182">
        <f t="shared" si="82"/>
        <v>28</v>
      </c>
      <c r="Y335" s="182">
        <f t="shared" si="82"/>
        <v>8</v>
      </c>
      <c r="Z335" s="182">
        <f t="shared" si="82"/>
        <v>39</v>
      </c>
      <c r="AA335" s="182">
        <f t="shared" si="82"/>
        <v>17</v>
      </c>
      <c r="AB335" s="182">
        <f t="shared" si="82"/>
        <v>65</v>
      </c>
      <c r="AC335" s="182">
        <f t="shared" si="82"/>
        <v>0</v>
      </c>
      <c r="AD335" s="182">
        <f t="shared" si="82"/>
        <v>33</v>
      </c>
      <c r="AE335" s="182">
        <f t="shared" si="82"/>
        <v>3</v>
      </c>
      <c r="AF335" s="182">
        <f t="shared" si="82"/>
        <v>1</v>
      </c>
      <c r="AG335" s="182">
        <f t="shared" si="82"/>
        <v>239</v>
      </c>
      <c r="AH335" s="182">
        <f t="shared" si="82"/>
        <v>184</v>
      </c>
      <c r="AI335" s="182">
        <f t="shared" si="82"/>
        <v>109</v>
      </c>
      <c r="AJ335" s="182">
        <f t="shared" si="82"/>
        <v>44</v>
      </c>
      <c r="AK335" s="184">
        <f t="shared" si="82"/>
        <v>3882</v>
      </c>
      <c r="AL335" s="181"/>
      <c r="AM335" s="18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  <c r="BA335" s="31"/>
      <c r="BB335" s="31"/>
      <c r="BC335" s="31"/>
      <c r="BD335" s="31"/>
      <c r="BE335" s="31"/>
      <c r="BF335" s="31"/>
      <c r="BG335" s="31"/>
      <c r="BH335" s="31"/>
      <c r="BI335" s="31"/>
    </row>
    <row r="336" spans="1:61" x14ac:dyDescent="0.2">
      <c r="A336" s="120" t="s">
        <v>69</v>
      </c>
      <c r="B336" s="185"/>
      <c r="C336" s="185"/>
      <c r="D336" s="185"/>
      <c r="E336" s="185"/>
      <c r="F336" s="185"/>
      <c r="G336" s="185"/>
      <c r="H336" s="185"/>
      <c r="I336" s="185"/>
      <c r="J336" s="185"/>
      <c r="K336" s="185"/>
      <c r="L336" s="185"/>
      <c r="M336" s="185"/>
      <c r="N336" s="185"/>
      <c r="O336" s="185"/>
      <c r="P336" s="185"/>
      <c r="Q336" s="185"/>
      <c r="R336" s="185"/>
      <c r="S336" s="185"/>
      <c r="T336" s="185"/>
      <c r="U336" s="185"/>
      <c r="V336" s="185"/>
      <c r="W336" s="185"/>
      <c r="X336" s="185"/>
      <c r="Y336" s="185"/>
      <c r="Z336" s="185"/>
      <c r="AA336" s="185"/>
      <c r="AB336" s="185"/>
      <c r="AC336" s="185"/>
      <c r="AD336" s="185"/>
      <c r="AE336" s="185"/>
      <c r="AF336" s="185"/>
      <c r="AG336" s="185"/>
      <c r="AH336" s="185"/>
      <c r="AI336" s="185"/>
      <c r="AJ336" s="185"/>
      <c r="AK336" s="180"/>
      <c r="AL336" s="181"/>
      <c r="AM336" s="18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  <c r="BA336" s="31"/>
      <c r="BB336" s="31"/>
      <c r="BC336" s="31"/>
      <c r="BD336" s="31"/>
      <c r="BE336" s="31"/>
      <c r="BF336" s="31"/>
      <c r="BG336" s="31"/>
      <c r="BH336" s="31"/>
      <c r="BI336" s="31"/>
    </row>
    <row r="337" spans="1:61" x14ac:dyDescent="0.2">
      <c r="A337" s="110" t="s">
        <v>92</v>
      </c>
      <c r="B337" s="179">
        <f>B210-B274</f>
        <v>0</v>
      </c>
      <c r="C337" s="179">
        <f t="shared" ref="B337:AK339" si="83">C210-C274</f>
        <v>0</v>
      </c>
      <c r="D337" s="179">
        <f t="shared" si="83"/>
        <v>0</v>
      </c>
      <c r="E337" s="179">
        <f t="shared" si="83"/>
        <v>0</v>
      </c>
      <c r="F337" s="179">
        <f t="shared" si="83"/>
        <v>0</v>
      </c>
      <c r="G337" s="179">
        <f t="shared" si="83"/>
        <v>0</v>
      </c>
      <c r="H337" s="179">
        <f t="shared" si="83"/>
        <v>0</v>
      </c>
      <c r="I337" s="179">
        <f t="shared" si="83"/>
        <v>0</v>
      </c>
      <c r="J337" s="179">
        <f t="shared" si="83"/>
        <v>0</v>
      </c>
      <c r="K337" s="179">
        <f t="shared" si="83"/>
        <v>0</v>
      </c>
      <c r="L337" s="179">
        <f t="shared" si="83"/>
        <v>0</v>
      </c>
      <c r="M337" s="179">
        <f t="shared" si="83"/>
        <v>0</v>
      </c>
      <c r="N337" s="179">
        <f t="shared" si="83"/>
        <v>0</v>
      </c>
      <c r="O337" s="179">
        <f t="shared" si="83"/>
        <v>0</v>
      </c>
      <c r="P337" s="179">
        <f t="shared" si="83"/>
        <v>0</v>
      </c>
      <c r="Q337" s="179">
        <f t="shared" si="83"/>
        <v>0</v>
      </c>
      <c r="R337" s="179">
        <f t="shared" si="83"/>
        <v>0</v>
      </c>
      <c r="S337" s="179">
        <f t="shared" si="83"/>
        <v>0</v>
      </c>
      <c r="T337" s="179">
        <f t="shared" si="83"/>
        <v>0</v>
      </c>
      <c r="U337" s="179">
        <f t="shared" si="83"/>
        <v>0</v>
      </c>
      <c r="V337" s="179">
        <f t="shared" si="83"/>
        <v>0</v>
      </c>
      <c r="W337" s="179">
        <f t="shared" si="83"/>
        <v>0</v>
      </c>
      <c r="X337" s="179">
        <f t="shared" si="83"/>
        <v>0</v>
      </c>
      <c r="Y337" s="179">
        <f t="shared" si="83"/>
        <v>0</v>
      </c>
      <c r="Z337" s="179">
        <f t="shared" si="83"/>
        <v>0</v>
      </c>
      <c r="AA337" s="179">
        <f t="shared" si="83"/>
        <v>0</v>
      </c>
      <c r="AB337" s="179">
        <f t="shared" si="83"/>
        <v>0</v>
      </c>
      <c r="AC337" s="179">
        <f t="shared" si="83"/>
        <v>0</v>
      </c>
      <c r="AD337" s="179">
        <f t="shared" si="83"/>
        <v>0</v>
      </c>
      <c r="AE337" s="179">
        <f t="shared" si="83"/>
        <v>0</v>
      </c>
      <c r="AF337" s="179">
        <f t="shared" si="83"/>
        <v>0</v>
      </c>
      <c r="AG337" s="179">
        <f t="shared" si="83"/>
        <v>0</v>
      </c>
      <c r="AH337" s="179">
        <f t="shared" si="83"/>
        <v>0</v>
      </c>
      <c r="AI337" s="179">
        <f t="shared" si="83"/>
        <v>0</v>
      </c>
      <c r="AJ337" s="179">
        <f t="shared" si="83"/>
        <v>0</v>
      </c>
      <c r="AK337" s="180">
        <f t="shared" si="83"/>
        <v>0</v>
      </c>
      <c r="AL337" s="181"/>
      <c r="AM337" s="18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  <c r="BA337" s="31"/>
      <c r="BB337" s="31"/>
      <c r="BC337" s="31"/>
      <c r="BD337" s="31"/>
      <c r="BE337" s="31"/>
      <c r="BF337" s="31"/>
      <c r="BG337" s="31"/>
      <c r="BH337" s="31"/>
      <c r="BI337" s="31"/>
    </row>
    <row r="338" spans="1:61" x14ac:dyDescent="0.2">
      <c r="A338" s="110" t="s">
        <v>93</v>
      </c>
      <c r="B338" s="179">
        <f t="shared" si="83"/>
        <v>0</v>
      </c>
      <c r="C338" s="179">
        <f t="shared" si="83"/>
        <v>0</v>
      </c>
      <c r="D338" s="179">
        <f t="shared" si="83"/>
        <v>0</v>
      </c>
      <c r="E338" s="179">
        <f t="shared" si="83"/>
        <v>0</v>
      </c>
      <c r="F338" s="179">
        <f t="shared" si="83"/>
        <v>0</v>
      </c>
      <c r="G338" s="179">
        <f t="shared" si="83"/>
        <v>0</v>
      </c>
      <c r="H338" s="179">
        <f t="shared" si="83"/>
        <v>0</v>
      </c>
      <c r="I338" s="179">
        <f t="shared" si="83"/>
        <v>0</v>
      </c>
      <c r="J338" s="179">
        <f t="shared" si="83"/>
        <v>0</v>
      </c>
      <c r="K338" s="179">
        <f t="shared" si="83"/>
        <v>0</v>
      </c>
      <c r="L338" s="179">
        <f t="shared" si="83"/>
        <v>0</v>
      </c>
      <c r="M338" s="179">
        <f t="shared" si="83"/>
        <v>0</v>
      </c>
      <c r="N338" s="179">
        <f t="shared" si="83"/>
        <v>0</v>
      </c>
      <c r="O338" s="179">
        <f t="shared" si="83"/>
        <v>0</v>
      </c>
      <c r="P338" s="179">
        <f t="shared" si="83"/>
        <v>0</v>
      </c>
      <c r="Q338" s="179">
        <f t="shared" si="83"/>
        <v>0</v>
      </c>
      <c r="R338" s="179">
        <f t="shared" si="83"/>
        <v>0</v>
      </c>
      <c r="S338" s="179">
        <f t="shared" si="83"/>
        <v>0</v>
      </c>
      <c r="T338" s="179">
        <f t="shared" si="83"/>
        <v>0</v>
      </c>
      <c r="U338" s="179">
        <f t="shared" si="83"/>
        <v>0</v>
      </c>
      <c r="V338" s="179">
        <f t="shared" si="83"/>
        <v>0</v>
      </c>
      <c r="W338" s="179">
        <f t="shared" si="83"/>
        <v>0</v>
      </c>
      <c r="X338" s="179">
        <f t="shared" si="83"/>
        <v>0</v>
      </c>
      <c r="Y338" s="179">
        <f t="shared" si="83"/>
        <v>0</v>
      </c>
      <c r="Z338" s="179">
        <f t="shared" si="83"/>
        <v>0</v>
      </c>
      <c r="AA338" s="179">
        <f t="shared" si="83"/>
        <v>0</v>
      </c>
      <c r="AB338" s="179">
        <f t="shared" si="83"/>
        <v>0</v>
      </c>
      <c r="AC338" s="179">
        <f t="shared" si="83"/>
        <v>0</v>
      </c>
      <c r="AD338" s="179">
        <f t="shared" si="83"/>
        <v>0</v>
      </c>
      <c r="AE338" s="179">
        <f t="shared" si="83"/>
        <v>0</v>
      </c>
      <c r="AF338" s="179">
        <f t="shared" si="83"/>
        <v>0</v>
      </c>
      <c r="AG338" s="189">
        <f t="shared" si="83"/>
        <v>0</v>
      </c>
      <c r="AH338" s="179">
        <f t="shared" si="83"/>
        <v>0</v>
      </c>
      <c r="AI338" s="179">
        <f t="shared" si="83"/>
        <v>0</v>
      </c>
      <c r="AJ338" s="179">
        <f t="shared" si="83"/>
        <v>0</v>
      </c>
      <c r="AK338" s="180">
        <f t="shared" si="83"/>
        <v>0</v>
      </c>
      <c r="AL338" s="181"/>
      <c r="AM338" s="18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  <c r="BA338" s="31"/>
      <c r="BB338" s="31"/>
      <c r="BC338" s="31"/>
      <c r="BD338" s="31"/>
      <c r="BE338" s="31"/>
      <c r="BF338" s="31"/>
      <c r="BG338" s="31"/>
      <c r="BH338" s="31"/>
      <c r="BI338" s="31"/>
    </row>
    <row r="339" spans="1:61" x14ac:dyDescent="0.2">
      <c r="A339" s="110" t="s">
        <v>1</v>
      </c>
      <c r="B339" s="179">
        <f t="shared" si="83"/>
        <v>0</v>
      </c>
      <c r="C339" s="179">
        <f t="shared" si="83"/>
        <v>0</v>
      </c>
      <c r="D339" s="179">
        <f t="shared" si="83"/>
        <v>0</v>
      </c>
      <c r="E339" s="179">
        <f t="shared" si="83"/>
        <v>0</v>
      </c>
      <c r="F339" s="179">
        <f t="shared" si="83"/>
        <v>0</v>
      </c>
      <c r="G339" s="179">
        <f t="shared" si="83"/>
        <v>0</v>
      </c>
      <c r="H339" s="179">
        <f t="shared" si="83"/>
        <v>0</v>
      </c>
      <c r="I339" s="179">
        <f t="shared" si="83"/>
        <v>0</v>
      </c>
      <c r="J339" s="179">
        <f t="shared" si="83"/>
        <v>0</v>
      </c>
      <c r="K339" s="179">
        <f t="shared" si="83"/>
        <v>0</v>
      </c>
      <c r="L339" s="179">
        <f t="shared" si="83"/>
        <v>0</v>
      </c>
      <c r="M339" s="179">
        <f t="shared" si="83"/>
        <v>0</v>
      </c>
      <c r="N339" s="179">
        <f t="shared" si="83"/>
        <v>0</v>
      </c>
      <c r="O339" s="179">
        <f t="shared" si="83"/>
        <v>0</v>
      </c>
      <c r="P339" s="179">
        <f t="shared" si="83"/>
        <v>0</v>
      </c>
      <c r="Q339" s="179">
        <f t="shared" si="83"/>
        <v>0</v>
      </c>
      <c r="R339" s="179">
        <f t="shared" si="83"/>
        <v>0</v>
      </c>
      <c r="S339" s="179">
        <f t="shared" si="83"/>
        <v>0</v>
      </c>
      <c r="T339" s="179">
        <f t="shared" si="83"/>
        <v>0</v>
      </c>
      <c r="U339" s="179">
        <f t="shared" si="83"/>
        <v>0</v>
      </c>
      <c r="V339" s="179">
        <f t="shared" si="83"/>
        <v>0</v>
      </c>
      <c r="W339" s="179">
        <f t="shared" si="83"/>
        <v>0</v>
      </c>
      <c r="X339" s="179">
        <f t="shared" si="83"/>
        <v>0</v>
      </c>
      <c r="Y339" s="179">
        <f t="shared" si="83"/>
        <v>0</v>
      </c>
      <c r="Z339" s="179">
        <f t="shared" si="83"/>
        <v>0</v>
      </c>
      <c r="AA339" s="179">
        <f t="shared" si="83"/>
        <v>0</v>
      </c>
      <c r="AB339" s="179">
        <f t="shared" si="83"/>
        <v>0</v>
      </c>
      <c r="AC339" s="179">
        <f t="shared" si="83"/>
        <v>0</v>
      </c>
      <c r="AD339" s="179">
        <f t="shared" si="83"/>
        <v>0</v>
      </c>
      <c r="AE339" s="179">
        <f t="shared" si="83"/>
        <v>0</v>
      </c>
      <c r="AF339" s="179">
        <f t="shared" si="83"/>
        <v>0</v>
      </c>
      <c r="AG339" s="179">
        <f t="shared" si="83"/>
        <v>0</v>
      </c>
      <c r="AH339" s="179">
        <f t="shared" si="83"/>
        <v>0</v>
      </c>
      <c r="AI339" s="179">
        <f t="shared" si="83"/>
        <v>0</v>
      </c>
      <c r="AJ339" s="179">
        <f t="shared" si="83"/>
        <v>0</v>
      </c>
      <c r="AK339" s="180">
        <f t="shared" si="83"/>
        <v>0</v>
      </c>
      <c r="AL339" s="181"/>
      <c r="AM339" s="18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  <c r="BA339" s="31"/>
      <c r="BB339" s="31"/>
      <c r="BC339" s="31"/>
      <c r="BD339" s="31"/>
      <c r="BE339" s="31"/>
      <c r="BF339" s="31"/>
      <c r="BG339" s="31"/>
      <c r="BH339" s="31"/>
      <c r="BI339" s="31"/>
    </row>
    <row r="340" spans="1:61" x14ac:dyDescent="0.2">
      <c r="A340" s="154" t="s">
        <v>7</v>
      </c>
      <c r="B340" s="182">
        <f t="shared" ref="B340:AK340" si="84">B337+B338+B339</f>
        <v>0</v>
      </c>
      <c r="C340" s="182">
        <f t="shared" si="84"/>
        <v>0</v>
      </c>
      <c r="D340" s="182">
        <f t="shared" si="84"/>
        <v>0</v>
      </c>
      <c r="E340" s="182">
        <f t="shared" si="84"/>
        <v>0</v>
      </c>
      <c r="F340" s="182">
        <f t="shared" si="84"/>
        <v>0</v>
      </c>
      <c r="G340" s="182">
        <f t="shared" si="84"/>
        <v>0</v>
      </c>
      <c r="H340" s="182">
        <f t="shared" si="84"/>
        <v>0</v>
      </c>
      <c r="I340" s="182">
        <f>I337+I338+I339</f>
        <v>0</v>
      </c>
      <c r="J340" s="182">
        <f>J337+J338+J339</f>
        <v>0</v>
      </c>
      <c r="K340" s="182">
        <f>K337+K338+K339</f>
        <v>0</v>
      </c>
      <c r="L340" s="182">
        <f t="shared" si="84"/>
        <v>0</v>
      </c>
      <c r="M340" s="182">
        <f t="shared" si="84"/>
        <v>0</v>
      </c>
      <c r="N340" s="182">
        <f t="shared" si="84"/>
        <v>0</v>
      </c>
      <c r="O340" s="182">
        <f t="shared" si="84"/>
        <v>0</v>
      </c>
      <c r="P340" s="182">
        <f t="shared" si="84"/>
        <v>0</v>
      </c>
      <c r="Q340" s="182">
        <f t="shared" si="84"/>
        <v>0</v>
      </c>
      <c r="R340" s="182">
        <f t="shared" si="84"/>
        <v>0</v>
      </c>
      <c r="S340" s="182">
        <f t="shared" si="84"/>
        <v>0</v>
      </c>
      <c r="T340" s="182">
        <f t="shared" si="84"/>
        <v>0</v>
      </c>
      <c r="U340" s="182">
        <f t="shared" si="84"/>
        <v>0</v>
      </c>
      <c r="V340" s="182">
        <f t="shared" si="84"/>
        <v>0</v>
      </c>
      <c r="W340" s="182">
        <f t="shared" si="84"/>
        <v>0</v>
      </c>
      <c r="X340" s="182">
        <f t="shared" si="84"/>
        <v>0</v>
      </c>
      <c r="Y340" s="182">
        <f t="shared" si="84"/>
        <v>0</v>
      </c>
      <c r="Z340" s="182">
        <f t="shared" si="84"/>
        <v>0</v>
      </c>
      <c r="AA340" s="182">
        <f t="shared" si="84"/>
        <v>0</v>
      </c>
      <c r="AB340" s="182">
        <f t="shared" si="84"/>
        <v>0</v>
      </c>
      <c r="AC340" s="182">
        <f t="shared" si="84"/>
        <v>0</v>
      </c>
      <c r="AD340" s="182">
        <f t="shared" si="84"/>
        <v>0</v>
      </c>
      <c r="AE340" s="182">
        <f t="shared" si="84"/>
        <v>0</v>
      </c>
      <c r="AF340" s="182">
        <f t="shared" si="84"/>
        <v>0</v>
      </c>
      <c r="AG340" s="182">
        <f t="shared" si="84"/>
        <v>0</v>
      </c>
      <c r="AH340" s="182">
        <f t="shared" si="84"/>
        <v>0</v>
      </c>
      <c r="AI340" s="182">
        <f t="shared" si="84"/>
        <v>0</v>
      </c>
      <c r="AJ340" s="182">
        <f t="shared" si="84"/>
        <v>0</v>
      </c>
      <c r="AK340" s="184">
        <f t="shared" si="84"/>
        <v>0</v>
      </c>
      <c r="AL340" s="181"/>
      <c r="AM340" s="18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  <c r="BA340" s="31"/>
      <c r="BB340" s="31"/>
      <c r="BC340" s="31"/>
      <c r="BD340" s="31"/>
      <c r="BE340" s="31"/>
      <c r="BF340" s="31"/>
      <c r="BG340" s="31"/>
      <c r="BH340" s="31"/>
      <c r="BI340" s="31"/>
    </row>
    <row r="341" spans="1:61" x14ac:dyDescent="0.2">
      <c r="A341" s="120" t="s">
        <v>70</v>
      </c>
      <c r="B341" s="185"/>
      <c r="C341" s="185"/>
      <c r="D341" s="185"/>
      <c r="E341" s="185"/>
      <c r="F341" s="185"/>
      <c r="G341" s="185"/>
      <c r="H341" s="185"/>
      <c r="I341" s="185"/>
      <c r="J341" s="185"/>
      <c r="K341" s="185"/>
      <c r="L341" s="185"/>
      <c r="M341" s="185"/>
      <c r="N341" s="185"/>
      <c r="O341" s="185"/>
      <c r="P341" s="185"/>
      <c r="Q341" s="185"/>
      <c r="R341" s="185"/>
      <c r="S341" s="185"/>
      <c r="T341" s="185"/>
      <c r="U341" s="185"/>
      <c r="V341" s="185"/>
      <c r="W341" s="185"/>
      <c r="X341" s="185"/>
      <c r="Y341" s="185"/>
      <c r="Z341" s="185"/>
      <c r="AA341" s="185"/>
      <c r="AB341" s="185"/>
      <c r="AC341" s="185"/>
      <c r="AD341" s="185"/>
      <c r="AE341" s="185"/>
      <c r="AF341" s="185"/>
      <c r="AG341" s="185"/>
      <c r="AH341" s="185"/>
      <c r="AI341" s="185"/>
      <c r="AJ341" s="185"/>
      <c r="AK341" s="180"/>
      <c r="AL341" s="181"/>
      <c r="AM341" s="18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  <c r="BA341" s="31"/>
      <c r="BB341" s="31"/>
      <c r="BC341" s="31"/>
      <c r="BD341" s="31"/>
      <c r="BE341" s="31"/>
      <c r="BF341" s="31"/>
      <c r="BG341" s="31"/>
      <c r="BH341" s="31"/>
      <c r="BI341" s="31"/>
    </row>
    <row r="342" spans="1:61" x14ac:dyDescent="0.2">
      <c r="A342" s="110" t="s">
        <v>92</v>
      </c>
      <c r="B342" s="179">
        <f t="shared" ref="B342:AK344" si="85">B215-B279</f>
        <v>0</v>
      </c>
      <c r="C342" s="179">
        <f t="shared" si="85"/>
        <v>0</v>
      </c>
      <c r="D342" s="179">
        <f t="shared" si="85"/>
        <v>0</v>
      </c>
      <c r="E342" s="179">
        <f t="shared" si="85"/>
        <v>0</v>
      </c>
      <c r="F342" s="179">
        <f t="shared" si="85"/>
        <v>0</v>
      </c>
      <c r="G342" s="179">
        <f t="shared" si="85"/>
        <v>0</v>
      </c>
      <c r="H342" s="179">
        <f t="shared" si="85"/>
        <v>0</v>
      </c>
      <c r="I342" s="179">
        <f t="shared" si="85"/>
        <v>0</v>
      </c>
      <c r="J342" s="179">
        <f t="shared" si="85"/>
        <v>0</v>
      </c>
      <c r="K342" s="179">
        <f t="shared" si="85"/>
        <v>0</v>
      </c>
      <c r="L342" s="179">
        <f t="shared" si="85"/>
        <v>0</v>
      </c>
      <c r="M342" s="179">
        <f t="shared" si="85"/>
        <v>0</v>
      </c>
      <c r="N342" s="179">
        <f t="shared" si="85"/>
        <v>0</v>
      </c>
      <c r="O342" s="179">
        <f t="shared" si="85"/>
        <v>0</v>
      </c>
      <c r="P342" s="179">
        <f t="shared" si="85"/>
        <v>0</v>
      </c>
      <c r="Q342" s="179">
        <f t="shared" si="85"/>
        <v>0</v>
      </c>
      <c r="R342" s="179">
        <f t="shared" si="85"/>
        <v>0</v>
      </c>
      <c r="S342" s="179">
        <f t="shared" si="85"/>
        <v>0</v>
      </c>
      <c r="T342" s="179">
        <f t="shared" si="85"/>
        <v>0</v>
      </c>
      <c r="U342" s="179">
        <f t="shared" si="85"/>
        <v>0</v>
      </c>
      <c r="V342" s="179">
        <f t="shared" si="85"/>
        <v>0</v>
      </c>
      <c r="W342" s="179">
        <f t="shared" si="85"/>
        <v>0</v>
      </c>
      <c r="X342" s="179">
        <f t="shared" si="85"/>
        <v>0</v>
      </c>
      <c r="Y342" s="179">
        <f t="shared" si="85"/>
        <v>0</v>
      </c>
      <c r="Z342" s="179">
        <f t="shared" si="85"/>
        <v>0</v>
      </c>
      <c r="AA342" s="179">
        <f t="shared" si="85"/>
        <v>0</v>
      </c>
      <c r="AB342" s="179">
        <f t="shared" si="85"/>
        <v>0</v>
      </c>
      <c r="AC342" s="179">
        <f t="shared" si="85"/>
        <v>0</v>
      </c>
      <c r="AD342" s="179">
        <f t="shared" si="85"/>
        <v>0</v>
      </c>
      <c r="AE342" s="179">
        <f t="shared" si="85"/>
        <v>0</v>
      </c>
      <c r="AF342" s="179">
        <f t="shared" si="85"/>
        <v>0</v>
      </c>
      <c r="AG342" s="179">
        <f t="shared" si="85"/>
        <v>0</v>
      </c>
      <c r="AH342" s="179">
        <f t="shared" si="85"/>
        <v>0</v>
      </c>
      <c r="AI342" s="179">
        <f t="shared" si="85"/>
        <v>0</v>
      </c>
      <c r="AJ342" s="179">
        <f t="shared" si="85"/>
        <v>0</v>
      </c>
      <c r="AK342" s="180">
        <f t="shared" si="85"/>
        <v>0</v>
      </c>
      <c r="AL342" s="181"/>
      <c r="AM342" s="18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  <c r="BA342" s="31"/>
      <c r="BB342" s="31"/>
      <c r="BC342" s="31"/>
      <c r="BD342" s="31"/>
      <c r="BE342" s="31"/>
      <c r="BF342" s="31"/>
      <c r="BG342" s="31"/>
      <c r="BH342" s="31"/>
      <c r="BI342" s="31"/>
    </row>
    <row r="343" spans="1:61" x14ac:dyDescent="0.2">
      <c r="A343" s="110" t="s">
        <v>93</v>
      </c>
      <c r="B343" s="179">
        <f t="shared" si="85"/>
        <v>0</v>
      </c>
      <c r="C343" s="179">
        <f t="shared" si="85"/>
        <v>0</v>
      </c>
      <c r="D343" s="179">
        <f t="shared" si="85"/>
        <v>0</v>
      </c>
      <c r="E343" s="179">
        <f t="shared" si="85"/>
        <v>0</v>
      </c>
      <c r="F343" s="179">
        <f t="shared" si="85"/>
        <v>0</v>
      </c>
      <c r="G343" s="179">
        <f t="shared" si="85"/>
        <v>0</v>
      </c>
      <c r="H343" s="179">
        <f t="shared" si="85"/>
        <v>0</v>
      </c>
      <c r="I343" s="179">
        <f t="shared" si="85"/>
        <v>0</v>
      </c>
      <c r="J343" s="179">
        <f t="shared" si="85"/>
        <v>0</v>
      </c>
      <c r="K343" s="179">
        <f t="shared" si="85"/>
        <v>0</v>
      </c>
      <c r="L343" s="179">
        <f t="shared" si="85"/>
        <v>0</v>
      </c>
      <c r="M343" s="179">
        <f t="shared" si="85"/>
        <v>0</v>
      </c>
      <c r="N343" s="179">
        <f t="shared" si="85"/>
        <v>0</v>
      </c>
      <c r="O343" s="179">
        <f t="shared" si="85"/>
        <v>0</v>
      </c>
      <c r="P343" s="179">
        <f t="shared" si="85"/>
        <v>0</v>
      </c>
      <c r="Q343" s="179">
        <f t="shared" si="85"/>
        <v>0</v>
      </c>
      <c r="R343" s="179">
        <f t="shared" si="85"/>
        <v>0</v>
      </c>
      <c r="S343" s="179">
        <f t="shared" si="85"/>
        <v>0</v>
      </c>
      <c r="T343" s="179">
        <f t="shared" si="85"/>
        <v>0</v>
      </c>
      <c r="U343" s="179">
        <f t="shared" si="85"/>
        <v>0</v>
      </c>
      <c r="V343" s="179">
        <f t="shared" si="85"/>
        <v>0</v>
      </c>
      <c r="W343" s="179">
        <f t="shared" si="85"/>
        <v>0</v>
      </c>
      <c r="X343" s="179">
        <f t="shared" si="85"/>
        <v>0</v>
      </c>
      <c r="Y343" s="179">
        <f t="shared" si="85"/>
        <v>0</v>
      </c>
      <c r="Z343" s="179">
        <f t="shared" si="85"/>
        <v>0</v>
      </c>
      <c r="AA343" s="179">
        <f t="shared" si="85"/>
        <v>0</v>
      </c>
      <c r="AB343" s="179">
        <f t="shared" si="85"/>
        <v>0</v>
      </c>
      <c r="AC343" s="179">
        <f t="shared" si="85"/>
        <v>0</v>
      </c>
      <c r="AD343" s="179">
        <f t="shared" si="85"/>
        <v>0</v>
      </c>
      <c r="AE343" s="179">
        <f t="shared" si="85"/>
        <v>0</v>
      </c>
      <c r="AF343" s="179">
        <f t="shared" si="85"/>
        <v>0</v>
      </c>
      <c r="AG343" s="179">
        <f t="shared" si="85"/>
        <v>0</v>
      </c>
      <c r="AH343" s="179">
        <f t="shared" si="85"/>
        <v>0</v>
      </c>
      <c r="AI343" s="179">
        <f t="shared" si="85"/>
        <v>0</v>
      </c>
      <c r="AJ343" s="179">
        <f t="shared" si="85"/>
        <v>0</v>
      </c>
      <c r="AK343" s="180">
        <f t="shared" si="85"/>
        <v>0</v>
      </c>
      <c r="AL343" s="181"/>
      <c r="AM343" s="18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  <c r="BA343" s="31"/>
      <c r="BB343" s="31"/>
      <c r="BC343" s="31"/>
      <c r="BD343" s="31"/>
      <c r="BE343" s="31"/>
      <c r="BF343" s="31"/>
      <c r="BG343" s="31"/>
      <c r="BH343" s="31"/>
      <c r="BI343" s="31"/>
    </row>
    <row r="344" spans="1:61" x14ac:dyDescent="0.2">
      <c r="A344" s="110" t="s">
        <v>1</v>
      </c>
      <c r="B344" s="179">
        <f t="shared" si="85"/>
        <v>0</v>
      </c>
      <c r="C344" s="179">
        <f t="shared" si="85"/>
        <v>0</v>
      </c>
      <c r="D344" s="179">
        <f t="shared" si="85"/>
        <v>0</v>
      </c>
      <c r="E344" s="179">
        <f t="shared" si="85"/>
        <v>0</v>
      </c>
      <c r="F344" s="179">
        <f t="shared" si="85"/>
        <v>0</v>
      </c>
      <c r="G344" s="179">
        <f t="shared" si="85"/>
        <v>0</v>
      </c>
      <c r="H344" s="179">
        <f t="shared" si="85"/>
        <v>0</v>
      </c>
      <c r="I344" s="179">
        <f t="shared" si="85"/>
        <v>0</v>
      </c>
      <c r="J344" s="179">
        <f t="shared" si="85"/>
        <v>0</v>
      </c>
      <c r="K344" s="179">
        <f t="shared" si="85"/>
        <v>0</v>
      </c>
      <c r="L344" s="179">
        <f t="shared" si="85"/>
        <v>0</v>
      </c>
      <c r="M344" s="179">
        <f t="shared" si="85"/>
        <v>0</v>
      </c>
      <c r="N344" s="179">
        <f t="shared" si="85"/>
        <v>0</v>
      </c>
      <c r="O344" s="179">
        <f t="shared" si="85"/>
        <v>0</v>
      </c>
      <c r="P344" s="179">
        <f t="shared" si="85"/>
        <v>0</v>
      </c>
      <c r="Q344" s="179">
        <f t="shared" si="85"/>
        <v>0</v>
      </c>
      <c r="R344" s="179"/>
      <c r="S344" s="179">
        <f t="shared" si="85"/>
        <v>0</v>
      </c>
      <c r="T344" s="179">
        <f t="shared" si="85"/>
        <v>0</v>
      </c>
      <c r="U344" s="179">
        <f t="shared" si="85"/>
        <v>0</v>
      </c>
      <c r="V344" s="179">
        <f t="shared" si="85"/>
        <v>0</v>
      </c>
      <c r="W344" s="179">
        <f t="shared" si="85"/>
        <v>0</v>
      </c>
      <c r="X344" s="179">
        <f t="shared" si="85"/>
        <v>0</v>
      </c>
      <c r="Y344" s="179">
        <f t="shared" si="85"/>
        <v>0</v>
      </c>
      <c r="Z344" s="179">
        <f t="shared" si="85"/>
        <v>0</v>
      </c>
      <c r="AA344" s="179">
        <f t="shared" si="85"/>
        <v>0</v>
      </c>
      <c r="AB344" s="179">
        <f t="shared" si="85"/>
        <v>0</v>
      </c>
      <c r="AC344" s="179">
        <f t="shared" si="85"/>
        <v>0</v>
      </c>
      <c r="AD344" s="179">
        <f t="shared" si="85"/>
        <v>0</v>
      </c>
      <c r="AE344" s="179">
        <f t="shared" si="85"/>
        <v>0</v>
      </c>
      <c r="AF344" s="179">
        <f t="shared" si="85"/>
        <v>0</v>
      </c>
      <c r="AG344" s="179">
        <f t="shared" si="85"/>
        <v>0</v>
      </c>
      <c r="AH344" s="179">
        <f t="shared" si="85"/>
        <v>0</v>
      </c>
      <c r="AI344" s="179">
        <f t="shared" si="85"/>
        <v>0</v>
      </c>
      <c r="AJ344" s="179">
        <f t="shared" si="85"/>
        <v>0</v>
      </c>
      <c r="AK344" s="180">
        <f t="shared" si="85"/>
        <v>0</v>
      </c>
      <c r="AL344" s="181"/>
      <c r="AM344" s="18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  <c r="BA344" s="31"/>
      <c r="BB344" s="31"/>
      <c r="BC344" s="31"/>
      <c r="BD344" s="31"/>
      <c r="BE344" s="31"/>
      <c r="BF344" s="31"/>
      <c r="BG344" s="31"/>
      <c r="BH344" s="31"/>
      <c r="BI344" s="31"/>
    </row>
    <row r="345" spans="1:61" x14ac:dyDescent="0.2">
      <c r="A345" s="154" t="s">
        <v>7</v>
      </c>
      <c r="B345" s="182">
        <f t="shared" ref="B345:AK345" si="86">B342+B343+B344</f>
        <v>0</v>
      </c>
      <c r="C345" s="182">
        <f t="shared" si="86"/>
        <v>0</v>
      </c>
      <c r="D345" s="182">
        <f t="shared" si="86"/>
        <v>0</v>
      </c>
      <c r="E345" s="182">
        <f t="shared" si="86"/>
        <v>0</v>
      </c>
      <c r="F345" s="182">
        <f t="shared" si="86"/>
        <v>0</v>
      </c>
      <c r="G345" s="182">
        <f t="shared" si="86"/>
        <v>0</v>
      </c>
      <c r="H345" s="182">
        <f t="shared" si="86"/>
        <v>0</v>
      </c>
      <c r="I345" s="182">
        <f>I342+I343+I344</f>
        <v>0</v>
      </c>
      <c r="J345" s="182">
        <f>J342+J343+J344</f>
        <v>0</v>
      </c>
      <c r="K345" s="182">
        <f>K342+K343+K344</f>
        <v>0</v>
      </c>
      <c r="L345" s="182">
        <f t="shared" si="86"/>
        <v>0</v>
      </c>
      <c r="M345" s="182">
        <f t="shared" si="86"/>
        <v>0</v>
      </c>
      <c r="N345" s="182">
        <f t="shared" si="86"/>
        <v>0</v>
      </c>
      <c r="O345" s="182">
        <f t="shared" si="86"/>
        <v>0</v>
      </c>
      <c r="P345" s="182">
        <f t="shared" si="86"/>
        <v>0</v>
      </c>
      <c r="Q345" s="182">
        <f t="shared" si="86"/>
        <v>0</v>
      </c>
      <c r="R345" s="182">
        <f t="shared" si="86"/>
        <v>0</v>
      </c>
      <c r="S345" s="182">
        <f t="shared" si="86"/>
        <v>0</v>
      </c>
      <c r="T345" s="182">
        <f t="shared" si="86"/>
        <v>0</v>
      </c>
      <c r="U345" s="182">
        <f t="shared" si="86"/>
        <v>0</v>
      </c>
      <c r="V345" s="182">
        <f t="shared" si="86"/>
        <v>0</v>
      </c>
      <c r="W345" s="182">
        <f t="shared" si="86"/>
        <v>0</v>
      </c>
      <c r="X345" s="182">
        <f t="shared" si="86"/>
        <v>0</v>
      </c>
      <c r="Y345" s="182">
        <f t="shared" si="86"/>
        <v>0</v>
      </c>
      <c r="Z345" s="182">
        <f t="shared" si="86"/>
        <v>0</v>
      </c>
      <c r="AA345" s="182">
        <f t="shared" si="86"/>
        <v>0</v>
      </c>
      <c r="AB345" s="182">
        <f t="shared" si="86"/>
        <v>0</v>
      </c>
      <c r="AC345" s="182">
        <f t="shared" si="86"/>
        <v>0</v>
      </c>
      <c r="AD345" s="182">
        <f t="shared" si="86"/>
        <v>0</v>
      </c>
      <c r="AE345" s="182">
        <f t="shared" si="86"/>
        <v>0</v>
      </c>
      <c r="AF345" s="182">
        <f t="shared" si="86"/>
        <v>0</v>
      </c>
      <c r="AG345" s="182">
        <f t="shared" si="86"/>
        <v>0</v>
      </c>
      <c r="AH345" s="182">
        <f t="shared" si="86"/>
        <v>0</v>
      </c>
      <c r="AI345" s="182">
        <f t="shared" si="86"/>
        <v>0</v>
      </c>
      <c r="AJ345" s="182">
        <f t="shared" si="86"/>
        <v>0</v>
      </c>
      <c r="AK345" s="184">
        <f t="shared" si="86"/>
        <v>0</v>
      </c>
      <c r="AL345" s="181"/>
      <c r="AM345" s="18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  <c r="BA345" s="31"/>
      <c r="BB345" s="31"/>
      <c r="BC345" s="31"/>
      <c r="BD345" s="31"/>
      <c r="BE345" s="31"/>
      <c r="BF345" s="31"/>
      <c r="BG345" s="31"/>
      <c r="BH345" s="31"/>
      <c r="BI345" s="31"/>
    </row>
    <row r="346" spans="1:61" x14ac:dyDescent="0.2">
      <c r="A346" s="120" t="s">
        <v>71</v>
      </c>
      <c r="B346" s="185"/>
      <c r="C346" s="185"/>
      <c r="D346" s="185"/>
      <c r="E346" s="185"/>
      <c r="F346" s="185"/>
      <c r="G346" s="185"/>
      <c r="H346" s="185"/>
      <c r="I346" s="185"/>
      <c r="J346" s="185"/>
      <c r="K346" s="185"/>
      <c r="L346" s="185"/>
      <c r="M346" s="185"/>
      <c r="N346" s="185"/>
      <c r="O346" s="185"/>
      <c r="P346" s="185"/>
      <c r="Q346" s="185"/>
      <c r="R346" s="185"/>
      <c r="S346" s="185"/>
      <c r="T346" s="185"/>
      <c r="U346" s="185"/>
      <c r="V346" s="185"/>
      <c r="W346" s="185"/>
      <c r="X346" s="185"/>
      <c r="Y346" s="185"/>
      <c r="Z346" s="185"/>
      <c r="AA346" s="185"/>
      <c r="AB346" s="185"/>
      <c r="AC346" s="185"/>
      <c r="AD346" s="185"/>
      <c r="AE346" s="185"/>
      <c r="AF346" s="185"/>
      <c r="AG346" s="185"/>
      <c r="AH346" s="185"/>
      <c r="AI346" s="185"/>
      <c r="AJ346" s="185"/>
      <c r="AK346" s="180"/>
      <c r="AL346" s="181"/>
      <c r="AM346" s="18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  <c r="BA346" s="31"/>
      <c r="BB346" s="31"/>
      <c r="BC346" s="31"/>
      <c r="BD346" s="31"/>
      <c r="BE346" s="31"/>
      <c r="BF346" s="31"/>
      <c r="BG346" s="31"/>
      <c r="BH346" s="31"/>
      <c r="BI346" s="31"/>
    </row>
    <row r="347" spans="1:61" x14ac:dyDescent="0.2">
      <c r="A347" s="110" t="s">
        <v>92</v>
      </c>
      <c r="B347" s="179">
        <f t="shared" ref="B347:AJ347" si="87">B220-B284</f>
        <v>0</v>
      </c>
      <c r="C347" s="179">
        <f t="shared" si="87"/>
        <v>0</v>
      </c>
      <c r="D347" s="179">
        <f t="shared" si="87"/>
        <v>0</v>
      </c>
      <c r="E347" s="179">
        <f t="shared" si="87"/>
        <v>0</v>
      </c>
      <c r="F347" s="179">
        <f t="shared" si="87"/>
        <v>0</v>
      </c>
      <c r="G347" s="179">
        <f t="shared" si="87"/>
        <v>0</v>
      </c>
      <c r="H347" s="179">
        <f t="shared" si="87"/>
        <v>0</v>
      </c>
      <c r="I347" s="179">
        <f t="shared" si="87"/>
        <v>0</v>
      </c>
      <c r="J347" s="179">
        <f t="shared" si="87"/>
        <v>0</v>
      </c>
      <c r="K347" s="179">
        <f t="shared" si="87"/>
        <v>0</v>
      </c>
      <c r="L347" s="179">
        <f t="shared" si="87"/>
        <v>0</v>
      </c>
      <c r="M347" s="179">
        <f t="shared" si="87"/>
        <v>0</v>
      </c>
      <c r="N347" s="179">
        <f t="shared" si="87"/>
        <v>0</v>
      </c>
      <c r="O347" s="179">
        <f t="shared" si="87"/>
        <v>0</v>
      </c>
      <c r="P347" s="179">
        <f t="shared" si="87"/>
        <v>0</v>
      </c>
      <c r="Q347" s="179">
        <f t="shared" si="87"/>
        <v>0</v>
      </c>
      <c r="R347" s="179">
        <f t="shared" si="87"/>
        <v>0</v>
      </c>
      <c r="S347" s="179">
        <f t="shared" si="87"/>
        <v>0</v>
      </c>
      <c r="T347" s="179">
        <f t="shared" si="87"/>
        <v>0</v>
      </c>
      <c r="U347" s="179">
        <f t="shared" si="87"/>
        <v>0</v>
      </c>
      <c r="V347" s="179">
        <f t="shared" si="87"/>
        <v>0</v>
      </c>
      <c r="W347" s="179">
        <f t="shared" si="87"/>
        <v>0</v>
      </c>
      <c r="X347" s="179">
        <f t="shared" si="87"/>
        <v>0</v>
      </c>
      <c r="Y347" s="179">
        <f t="shared" si="87"/>
        <v>0</v>
      </c>
      <c r="Z347" s="179">
        <f t="shared" si="87"/>
        <v>0</v>
      </c>
      <c r="AA347" s="179">
        <f t="shared" si="87"/>
        <v>0</v>
      </c>
      <c r="AB347" s="179">
        <f t="shared" si="87"/>
        <v>0</v>
      </c>
      <c r="AC347" s="179">
        <f t="shared" si="87"/>
        <v>0</v>
      </c>
      <c r="AD347" s="179">
        <f t="shared" si="87"/>
        <v>0</v>
      </c>
      <c r="AE347" s="179">
        <f t="shared" si="87"/>
        <v>0</v>
      </c>
      <c r="AF347" s="179">
        <f t="shared" si="87"/>
        <v>0</v>
      </c>
      <c r="AG347" s="179">
        <f t="shared" si="87"/>
        <v>0</v>
      </c>
      <c r="AH347" s="179">
        <f t="shared" si="87"/>
        <v>0</v>
      </c>
      <c r="AI347" s="179">
        <f t="shared" si="87"/>
        <v>0</v>
      </c>
      <c r="AJ347" s="179">
        <f t="shared" si="87"/>
        <v>0</v>
      </c>
      <c r="AK347" s="180">
        <f t="shared" ref="B347:AK349" si="88">AK220-AK284</f>
        <v>0</v>
      </c>
      <c r="AL347" s="181"/>
      <c r="AM347" s="18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  <c r="BA347" s="31"/>
      <c r="BB347" s="31"/>
      <c r="BC347" s="31"/>
      <c r="BD347" s="31"/>
      <c r="BE347" s="31"/>
      <c r="BF347" s="31"/>
      <c r="BG347" s="31"/>
      <c r="BH347" s="31"/>
      <c r="BI347" s="31"/>
    </row>
    <row r="348" spans="1:61" x14ac:dyDescent="0.2">
      <c r="A348" s="110" t="s">
        <v>93</v>
      </c>
      <c r="B348" s="179">
        <f t="shared" si="88"/>
        <v>0</v>
      </c>
      <c r="C348" s="179">
        <f t="shared" si="88"/>
        <v>0</v>
      </c>
      <c r="D348" s="179">
        <f t="shared" si="88"/>
        <v>0</v>
      </c>
      <c r="E348" s="179">
        <f t="shared" si="88"/>
        <v>0</v>
      </c>
      <c r="F348" s="179">
        <f t="shared" si="88"/>
        <v>0</v>
      </c>
      <c r="G348" s="179">
        <f t="shared" si="88"/>
        <v>0</v>
      </c>
      <c r="H348" s="179">
        <f t="shared" si="88"/>
        <v>0</v>
      </c>
      <c r="I348" s="179">
        <f t="shared" si="88"/>
        <v>0</v>
      </c>
      <c r="J348" s="179">
        <f t="shared" si="88"/>
        <v>0</v>
      </c>
      <c r="K348" s="179">
        <f t="shared" si="88"/>
        <v>0</v>
      </c>
      <c r="L348" s="179">
        <f t="shared" si="88"/>
        <v>0</v>
      </c>
      <c r="M348" s="179">
        <f t="shared" si="88"/>
        <v>0</v>
      </c>
      <c r="N348" s="179">
        <f t="shared" si="88"/>
        <v>0</v>
      </c>
      <c r="O348" s="179">
        <f t="shared" si="88"/>
        <v>0</v>
      </c>
      <c r="P348" s="179">
        <f t="shared" si="88"/>
        <v>0</v>
      </c>
      <c r="Q348" s="179">
        <f t="shared" si="88"/>
        <v>0</v>
      </c>
      <c r="R348" s="179">
        <f t="shared" si="88"/>
        <v>0</v>
      </c>
      <c r="S348" s="179">
        <f t="shared" si="88"/>
        <v>0</v>
      </c>
      <c r="T348" s="179">
        <f t="shared" si="88"/>
        <v>0</v>
      </c>
      <c r="U348" s="179">
        <f t="shared" si="88"/>
        <v>0</v>
      </c>
      <c r="V348" s="179">
        <f t="shared" si="88"/>
        <v>0</v>
      </c>
      <c r="W348" s="179">
        <f t="shared" si="88"/>
        <v>0</v>
      </c>
      <c r="X348" s="179">
        <f t="shared" si="88"/>
        <v>0</v>
      </c>
      <c r="Y348" s="179">
        <f t="shared" si="88"/>
        <v>0</v>
      </c>
      <c r="Z348" s="179">
        <f t="shared" si="88"/>
        <v>0</v>
      </c>
      <c r="AA348" s="179">
        <f t="shared" si="88"/>
        <v>0</v>
      </c>
      <c r="AB348" s="179">
        <f t="shared" si="88"/>
        <v>0</v>
      </c>
      <c r="AC348" s="179">
        <f t="shared" si="88"/>
        <v>0</v>
      </c>
      <c r="AD348" s="179">
        <f t="shared" si="88"/>
        <v>0</v>
      </c>
      <c r="AE348" s="179">
        <f t="shared" si="88"/>
        <v>0</v>
      </c>
      <c r="AF348" s="179">
        <f t="shared" si="88"/>
        <v>0</v>
      </c>
      <c r="AG348" s="179">
        <f t="shared" si="88"/>
        <v>0</v>
      </c>
      <c r="AH348" s="179">
        <f t="shared" si="88"/>
        <v>0</v>
      </c>
      <c r="AI348" s="179">
        <f t="shared" si="88"/>
        <v>0</v>
      </c>
      <c r="AJ348" s="179">
        <f>AJ221-AJ285</f>
        <v>0</v>
      </c>
      <c r="AK348" s="180">
        <f t="shared" si="88"/>
        <v>0</v>
      </c>
      <c r="AL348" s="181"/>
      <c r="AM348" s="18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  <c r="BA348" s="31"/>
      <c r="BB348" s="31"/>
      <c r="BC348" s="31"/>
      <c r="BD348" s="31"/>
      <c r="BE348" s="31"/>
      <c r="BF348" s="31"/>
      <c r="BG348" s="31"/>
      <c r="BH348" s="31"/>
      <c r="BI348" s="31"/>
    </row>
    <row r="349" spans="1:61" x14ac:dyDescent="0.2">
      <c r="A349" s="110" t="s">
        <v>1</v>
      </c>
      <c r="B349" s="179">
        <f t="shared" si="88"/>
        <v>0</v>
      </c>
      <c r="C349" s="179">
        <f t="shared" si="88"/>
        <v>0</v>
      </c>
      <c r="D349" s="179">
        <f t="shared" si="88"/>
        <v>0</v>
      </c>
      <c r="E349" s="179">
        <f t="shared" si="88"/>
        <v>0</v>
      </c>
      <c r="F349" s="179">
        <f t="shared" si="88"/>
        <v>0</v>
      </c>
      <c r="G349" s="179">
        <f t="shared" si="88"/>
        <v>0</v>
      </c>
      <c r="H349" s="179">
        <f t="shared" si="88"/>
        <v>0</v>
      </c>
      <c r="I349" s="179">
        <f t="shared" si="88"/>
        <v>0</v>
      </c>
      <c r="J349" s="179">
        <f t="shared" si="88"/>
        <v>0</v>
      </c>
      <c r="K349" s="179">
        <f t="shared" si="88"/>
        <v>0</v>
      </c>
      <c r="L349" s="179">
        <f t="shared" si="88"/>
        <v>0</v>
      </c>
      <c r="M349" s="179">
        <f t="shared" si="88"/>
        <v>0</v>
      </c>
      <c r="N349" s="179">
        <f t="shared" si="88"/>
        <v>0</v>
      </c>
      <c r="O349" s="179">
        <f t="shared" si="88"/>
        <v>0</v>
      </c>
      <c r="P349" s="179">
        <f t="shared" si="88"/>
        <v>0</v>
      </c>
      <c r="Q349" s="179">
        <f t="shared" si="88"/>
        <v>0</v>
      </c>
      <c r="R349" s="179">
        <f t="shared" si="88"/>
        <v>0</v>
      </c>
      <c r="S349" s="179">
        <f t="shared" si="88"/>
        <v>0</v>
      </c>
      <c r="T349" s="179">
        <f t="shared" si="88"/>
        <v>0</v>
      </c>
      <c r="U349" s="179">
        <f t="shared" si="88"/>
        <v>0</v>
      </c>
      <c r="V349" s="179">
        <f t="shared" si="88"/>
        <v>0</v>
      </c>
      <c r="W349" s="179">
        <f t="shared" si="88"/>
        <v>0</v>
      </c>
      <c r="X349" s="179">
        <f t="shared" si="88"/>
        <v>0</v>
      </c>
      <c r="Y349" s="179">
        <f t="shared" si="88"/>
        <v>0</v>
      </c>
      <c r="Z349" s="179">
        <f t="shared" si="88"/>
        <v>0</v>
      </c>
      <c r="AA349" s="179">
        <f t="shared" si="88"/>
        <v>0</v>
      </c>
      <c r="AB349" s="179">
        <f t="shared" si="88"/>
        <v>0</v>
      </c>
      <c r="AC349" s="179">
        <f t="shared" si="88"/>
        <v>0</v>
      </c>
      <c r="AD349" s="179">
        <f t="shared" si="88"/>
        <v>0</v>
      </c>
      <c r="AE349" s="179">
        <f t="shared" si="88"/>
        <v>0</v>
      </c>
      <c r="AF349" s="179">
        <f t="shared" si="88"/>
        <v>0</v>
      </c>
      <c r="AG349" s="179">
        <f t="shared" si="88"/>
        <v>0</v>
      </c>
      <c r="AH349" s="179">
        <f t="shared" si="88"/>
        <v>0</v>
      </c>
      <c r="AI349" s="179">
        <f t="shared" si="88"/>
        <v>0</v>
      </c>
      <c r="AJ349" s="179">
        <f t="shared" si="88"/>
        <v>0</v>
      </c>
      <c r="AK349" s="180">
        <f t="shared" si="88"/>
        <v>0</v>
      </c>
      <c r="AL349" s="181"/>
      <c r="AM349" s="18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  <c r="AZ349" s="31"/>
      <c r="BA349" s="31"/>
      <c r="BB349" s="31"/>
      <c r="BC349" s="31"/>
      <c r="BD349" s="31"/>
      <c r="BE349" s="31"/>
      <c r="BF349" s="31"/>
      <c r="BG349" s="31"/>
      <c r="BH349" s="31"/>
      <c r="BI349" s="31"/>
    </row>
    <row r="350" spans="1:61" x14ac:dyDescent="0.2">
      <c r="A350" s="154" t="s">
        <v>7</v>
      </c>
      <c r="B350" s="182">
        <f t="shared" ref="B350:AK350" si="89">B347+B348+B349</f>
        <v>0</v>
      </c>
      <c r="C350" s="182">
        <f t="shared" si="89"/>
        <v>0</v>
      </c>
      <c r="D350" s="182">
        <f t="shared" si="89"/>
        <v>0</v>
      </c>
      <c r="E350" s="182">
        <f t="shared" si="89"/>
        <v>0</v>
      </c>
      <c r="F350" s="182">
        <f t="shared" si="89"/>
        <v>0</v>
      </c>
      <c r="G350" s="182">
        <f t="shared" si="89"/>
        <v>0</v>
      </c>
      <c r="H350" s="182">
        <f t="shared" si="89"/>
        <v>0</v>
      </c>
      <c r="I350" s="182">
        <f>I347+I348+I349</f>
        <v>0</v>
      </c>
      <c r="J350" s="182">
        <f>J347+J348+J349</f>
        <v>0</v>
      </c>
      <c r="K350" s="182">
        <f>K347+K348+K349</f>
        <v>0</v>
      </c>
      <c r="L350" s="182">
        <f t="shared" si="89"/>
        <v>0</v>
      </c>
      <c r="M350" s="182">
        <f t="shared" si="89"/>
        <v>0</v>
      </c>
      <c r="N350" s="182">
        <f t="shared" si="89"/>
        <v>0</v>
      </c>
      <c r="O350" s="182">
        <f t="shared" si="89"/>
        <v>0</v>
      </c>
      <c r="P350" s="182">
        <f t="shared" si="89"/>
        <v>0</v>
      </c>
      <c r="Q350" s="182">
        <f t="shared" si="89"/>
        <v>0</v>
      </c>
      <c r="R350" s="182">
        <f t="shared" si="89"/>
        <v>0</v>
      </c>
      <c r="S350" s="182">
        <f t="shared" si="89"/>
        <v>0</v>
      </c>
      <c r="T350" s="182">
        <f t="shared" si="89"/>
        <v>0</v>
      </c>
      <c r="U350" s="182">
        <f t="shared" si="89"/>
        <v>0</v>
      </c>
      <c r="V350" s="182">
        <f t="shared" si="89"/>
        <v>0</v>
      </c>
      <c r="W350" s="182">
        <f t="shared" si="89"/>
        <v>0</v>
      </c>
      <c r="X350" s="182">
        <f t="shared" si="89"/>
        <v>0</v>
      </c>
      <c r="Y350" s="182">
        <f t="shared" si="89"/>
        <v>0</v>
      </c>
      <c r="Z350" s="182">
        <f t="shared" si="89"/>
        <v>0</v>
      </c>
      <c r="AA350" s="182">
        <f t="shared" si="89"/>
        <v>0</v>
      </c>
      <c r="AB350" s="182">
        <f t="shared" si="89"/>
        <v>0</v>
      </c>
      <c r="AC350" s="182">
        <f t="shared" si="89"/>
        <v>0</v>
      </c>
      <c r="AD350" s="182">
        <f t="shared" si="89"/>
        <v>0</v>
      </c>
      <c r="AE350" s="182">
        <f t="shared" si="89"/>
        <v>0</v>
      </c>
      <c r="AF350" s="182">
        <f t="shared" si="89"/>
        <v>0</v>
      </c>
      <c r="AG350" s="182">
        <f t="shared" si="89"/>
        <v>0</v>
      </c>
      <c r="AH350" s="182">
        <f t="shared" si="89"/>
        <v>0</v>
      </c>
      <c r="AI350" s="182">
        <f t="shared" si="89"/>
        <v>0</v>
      </c>
      <c r="AJ350" s="182">
        <f t="shared" si="89"/>
        <v>0</v>
      </c>
      <c r="AK350" s="184">
        <f t="shared" si="89"/>
        <v>0</v>
      </c>
      <c r="AL350" s="181"/>
      <c r="AM350" s="18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  <c r="BA350" s="31"/>
      <c r="BB350" s="31"/>
      <c r="BC350" s="31"/>
      <c r="BD350" s="31"/>
      <c r="BE350" s="31"/>
      <c r="BF350" s="31"/>
      <c r="BG350" s="31"/>
      <c r="BH350" s="31"/>
      <c r="BI350" s="31"/>
    </row>
    <row r="351" spans="1:61" x14ac:dyDescent="0.2">
      <c r="A351" s="120" t="s">
        <v>72</v>
      </c>
      <c r="B351" s="185"/>
      <c r="C351" s="185"/>
      <c r="D351" s="185"/>
      <c r="E351" s="185"/>
      <c r="F351" s="185"/>
      <c r="G351" s="185"/>
      <c r="H351" s="185"/>
      <c r="I351" s="185"/>
      <c r="J351" s="185"/>
      <c r="K351" s="185"/>
      <c r="L351" s="185"/>
      <c r="M351" s="185"/>
      <c r="N351" s="185"/>
      <c r="O351" s="185"/>
      <c r="P351" s="185"/>
      <c r="Q351" s="185"/>
      <c r="R351" s="185"/>
      <c r="S351" s="185"/>
      <c r="T351" s="185"/>
      <c r="U351" s="185"/>
      <c r="V351" s="185"/>
      <c r="W351" s="185"/>
      <c r="X351" s="185"/>
      <c r="Y351" s="185"/>
      <c r="Z351" s="185"/>
      <c r="AA351" s="185"/>
      <c r="AB351" s="185"/>
      <c r="AC351" s="185"/>
      <c r="AD351" s="185"/>
      <c r="AE351" s="185"/>
      <c r="AF351" s="185"/>
      <c r="AG351" s="185"/>
      <c r="AH351" s="185"/>
      <c r="AI351" s="185"/>
      <c r="AJ351" s="185"/>
      <c r="AK351" s="180"/>
      <c r="AL351" s="181"/>
      <c r="AM351" s="18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  <c r="BA351" s="31"/>
      <c r="BB351" s="31"/>
      <c r="BC351" s="31"/>
      <c r="BD351" s="31"/>
      <c r="BE351" s="31"/>
      <c r="BF351" s="31"/>
      <c r="BG351" s="31"/>
      <c r="BH351" s="31"/>
      <c r="BI351" s="31"/>
    </row>
    <row r="352" spans="1:61" x14ac:dyDescent="0.2">
      <c r="A352" s="110" t="s">
        <v>92</v>
      </c>
      <c r="B352" s="179">
        <f t="shared" ref="B352:AK352" si="90">B225-B289</f>
        <v>0</v>
      </c>
      <c r="C352" s="179">
        <f t="shared" si="90"/>
        <v>0</v>
      </c>
      <c r="D352" s="179">
        <f t="shared" si="90"/>
        <v>0</v>
      </c>
      <c r="E352" s="179">
        <f t="shared" si="90"/>
        <v>0</v>
      </c>
      <c r="F352" s="179">
        <f t="shared" si="90"/>
        <v>0</v>
      </c>
      <c r="G352" s="179">
        <f t="shared" si="90"/>
        <v>0</v>
      </c>
      <c r="H352" s="179">
        <f t="shared" si="90"/>
        <v>0</v>
      </c>
      <c r="I352" s="179">
        <f t="shared" si="90"/>
        <v>0</v>
      </c>
      <c r="J352" s="179">
        <f t="shared" si="90"/>
        <v>0</v>
      </c>
      <c r="K352" s="179">
        <f t="shared" si="90"/>
        <v>0</v>
      </c>
      <c r="L352" s="179">
        <f t="shared" si="90"/>
        <v>0</v>
      </c>
      <c r="M352" s="179">
        <f t="shared" si="90"/>
        <v>0</v>
      </c>
      <c r="N352" s="179">
        <f t="shared" si="90"/>
        <v>0</v>
      </c>
      <c r="O352" s="179">
        <f t="shared" si="90"/>
        <v>0</v>
      </c>
      <c r="P352" s="179">
        <f t="shared" si="90"/>
        <v>0</v>
      </c>
      <c r="Q352" s="179">
        <f t="shared" si="90"/>
        <v>0</v>
      </c>
      <c r="R352" s="179">
        <f t="shared" si="90"/>
        <v>0</v>
      </c>
      <c r="S352" s="179">
        <f t="shared" si="90"/>
        <v>0</v>
      </c>
      <c r="T352" s="179">
        <f t="shared" si="90"/>
        <v>0</v>
      </c>
      <c r="U352" s="179">
        <f t="shared" si="90"/>
        <v>0</v>
      </c>
      <c r="V352" s="179">
        <f t="shared" si="90"/>
        <v>0</v>
      </c>
      <c r="W352" s="179">
        <f t="shared" si="90"/>
        <v>0</v>
      </c>
      <c r="X352" s="179">
        <f t="shared" si="90"/>
        <v>0</v>
      </c>
      <c r="Y352" s="179">
        <f t="shared" si="90"/>
        <v>0</v>
      </c>
      <c r="Z352" s="179">
        <f t="shared" si="90"/>
        <v>0</v>
      </c>
      <c r="AA352" s="179">
        <f t="shared" si="90"/>
        <v>0</v>
      </c>
      <c r="AB352" s="179">
        <f t="shared" si="90"/>
        <v>0</v>
      </c>
      <c r="AC352" s="179">
        <f t="shared" si="90"/>
        <v>0</v>
      </c>
      <c r="AD352" s="179">
        <f t="shared" si="90"/>
        <v>0</v>
      </c>
      <c r="AE352" s="179">
        <f t="shared" si="90"/>
        <v>0</v>
      </c>
      <c r="AF352" s="179">
        <f t="shared" si="90"/>
        <v>0</v>
      </c>
      <c r="AG352" s="179">
        <f t="shared" si="90"/>
        <v>0</v>
      </c>
      <c r="AH352" s="179">
        <f t="shared" si="90"/>
        <v>0</v>
      </c>
      <c r="AI352" s="179">
        <f t="shared" si="90"/>
        <v>0</v>
      </c>
      <c r="AJ352" s="179">
        <f t="shared" si="90"/>
        <v>0</v>
      </c>
      <c r="AK352" s="180">
        <f t="shared" si="90"/>
        <v>0</v>
      </c>
      <c r="AL352" s="181"/>
      <c r="AM352" s="18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  <c r="BA352" s="31"/>
      <c r="BB352" s="31"/>
      <c r="BC352" s="31"/>
      <c r="BD352" s="31"/>
      <c r="BE352" s="31"/>
      <c r="BF352" s="31"/>
      <c r="BG352" s="31"/>
      <c r="BH352" s="31"/>
      <c r="BI352" s="31"/>
    </row>
    <row r="353" spans="1:61" x14ac:dyDescent="0.2">
      <c r="A353" s="110" t="s">
        <v>93</v>
      </c>
      <c r="B353" s="179">
        <f>B226-B290</f>
        <v>0</v>
      </c>
      <c r="C353" s="179">
        <f t="shared" ref="C353:AJ354" si="91">C226-C290</f>
        <v>0</v>
      </c>
      <c r="D353" s="179">
        <f t="shared" si="91"/>
        <v>0</v>
      </c>
      <c r="E353" s="179">
        <f t="shared" si="91"/>
        <v>0</v>
      </c>
      <c r="F353" s="179">
        <f t="shared" si="91"/>
        <v>0</v>
      </c>
      <c r="G353" s="179">
        <f t="shared" si="91"/>
        <v>0</v>
      </c>
      <c r="H353" s="179">
        <f t="shared" si="91"/>
        <v>0</v>
      </c>
      <c r="I353" s="179">
        <f t="shared" si="91"/>
        <v>0</v>
      </c>
      <c r="J353" s="179">
        <f t="shared" si="91"/>
        <v>0</v>
      </c>
      <c r="K353" s="179">
        <f t="shared" si="91"/>
        <v>0</v>
      </c>
      <c r="L353" s="179">
        <f t="shared" si="91"/>
        <v>0</v>
      </c>
      <c r="M353" s="179">
        <f t="shared" si="91"/>
        <v>0</v>
      </c>
      <c r="N353" s="179">
        <f t="shared" si="91"/>
        <v>0</v>
      </c>
      <c r="O353" s="179">
        <f t="shared" si="91"/>
        <v>0</v>
      </c>
      <c r="P353" s="179">
        <f t="shared" si="91"/>
        <v>0</v>
      </c>
      <c r="Q353" s="179">
        <f t="shared" si="91"/>
        <v>0</v>
      </c>
      <c r="R353" s="179">
        <f t="shared" si="91"/>
        <v>0</v>
      </c>
      <c r="S353" s="179">
        <f t="shared" si="91"/>
        <v>0</v>
      </c>
      <c r="T353" s="179">
        <f t="shared" si="91"/>
        <v>0</v>
      </c>
      <c r="U353" s="179">
        <f t="shared" si="91"/>
        <v>0</v>
      </c>
      <c r="V353" s="179">
        <f t="shared" si="91"/>
        <v>0</v>
      </c>
      <c r="W353" s="179">
        <f t="shared" si="91"/>
        <v>0</v>
      </c>
      <c r="X353" s="179">
        <f t="shared" si="91"/>
        <v>0</v>
      </c>
      <c r="Y353" s="179">
        <f t="shared" si="91"/>
        <v>0</v>
      </c>
      <c r="Z353" s="179">
        <f t="shared" si="91"/>
        <v>0</v>
      </c>
      <c r="AA353" s="179">
        <f t="shared" si="91"/>
        <v>0</v>
      </c>
      <c r="AB353" s="179">
        <f t="shared" si="91"/>
        <v>0</v>
      </c>
      <c r="AC353" s="179">
        <f t="shared" si="91"/>
        <v>0</v>
      </c>
      <c r="AD353" s="179">
        <f t="shared" si="91"/>
        <v>0</v>
      </c>
      <c r="AE353" s="179">
        <f t="shared" si="91"/>
        <v>0</v>
      </c>
      <c r="AF353" s="179">
        <f t="shared" si="91"/>
        <v>0</v>
      </c>
      <c r="AG353" s="179">
        <f t="shared" si="91"/>
        <v>0</v>
      </c>
      <c r="AH353" s="179">
        <f t="shared" si="91"/>
        <v>0</v>
      </c>
      <c r="AI353" s="179">
        <f t="shared" si="91"/>
        <v>0</v>
      </c>
      <c r="AJ353" s="179">
        <f t="shared" si="91"/>
        <v>0</v>
      </c>
      <c r="AK353" s="180">
        <f>AK226-AK290</f>
        <v>0</v>
      </c>
      <c r="AL353" s="181"/>
      <c r="AM353" s="18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  <c r="BA353" s="31"/>
      <c r="BB353" s="31"/>
      <c r="BC353" s="31"/>
      <c r="BD353" s="31"/>
      <c r="BE353" s="31"/>
      <c r="BF353" s="31"/>
      <c r="BG353" s="31"/>
      <c r="BH353" s="31"/>
      <c r="BI353" s="31"/>
    </row>
    <row r="354" spans="1:61" x14ac:dyDescent="0.2">
      <c r="A354" s="110" t="s">
        <v>1</v>
      </c>
      <c r="B354" s="179">
        <f>B227-B291</f>
        <v>0</v>
      </c>
      <c r="C354" s="179">
        <f t="shared" si="91"/>
        <v>0</v>
      </c>
      <c r="D354" s="179">
        <f t="shared" si="91"/>
        <v>0</v>
      </c>
      <c r="E354" s="179">
        <f t="shared" si="91"/>
        <v>0</v>
      </c>
      <c r="F354" s="179">
        <f t="shared" si="91"/>
        <v>0</v>
      </c>
      <c r="G354" s="179">
        <f t="shared" si="91"/>
        <v>0</v>
      </c>
      <c r="H354" s="179">
        <f t="shared" si="91"/>
        <v>0</v>
      </c>
      <c r="I354" s="179">
        <f t="shared" si="91"/>
        <v>0</v>
      </c>
      <c r="J354" s="179">
        <f t="shared" si="91"/>
        <v>0</v>
      </c>
      <c r="K354" s="179">
        <f t="shared" si="91"/>
        <v>0</v>
      </c>
      <c r="L354" s="179">
        <f t="shared" si="91"/>
        <v>0</v>
      </c>
      <c r="M354" s="179">
        <f t="shared" si="91"/>
        <v>0</v>
      </c>
      <c r="N354" s="179">
        <f t="shared" si="91"/>
        <v>0</v>
      </c>
      <c r="O354" s="179">
        <f t="shared" si="91"/>
        <v>0</v>
      </c>
      <c r="P354" s="179">
        <f t="shared" si="91"/>
        <v>0</v>
      </c>
      <c r="Q354" s="179">
        <f t="shared" si="91"/>
        <v>0</v>
      </c>
      <c r="R354" s="179">
        <f t="shared" si="91"/>
        <v>0</v>
      </c>
      <c r="S354" s="179">
        <f t="shared" si="91"/>
        <v>0</v>
      </c>
      <c r="T354" s="179">
        <f t="shared" si="91"/>
        <v>0</v>
      </c>
      <c r="U354" s="179">
        <f t="shared" si="91"/>
        <v>0</v>
      </c>
      <c r="V354" s="179">
        <f t="shared" si="91"/>
        <v>0</v>
      </c>
      <c r="W354" s="179">
        <f t="shared" si="91"/>
        <v>0</v>
      </c>
      <c r="X354" s="179">
        <f t="shared" si="91"/>
        <v>0</v>
      </c>
      <c r="Y354" s="179">
        <f t="shared" si="91"/>
        <v>0</v>
      </c>
      <c r="Z354" s="179">
        <f t="shared" si="91"/>
        <v>0</v>
      </c>
      <c r="AA354" s="179">
        <f t="shared" si="91"/>
        <v>0</v>
      </c>
      <c r="AB354" s="179">
        <f t="shared" si="91"/>
        <v>0</v>
      </c>
      <c r="AC354" s="179">
        <f t="shared" si="91"/>
        <v>0</v>
      </c>
      <c r="AD354" s="179">
        <f t="shared" si="91"/>
        <v>0</v>
      </c>
      <c r="AE354" s="179">
        <f t="shared" si="91"/>
        <v>0</v>
      </c>
      <c r="AF354" s="179">
        <f t="shared" si="91"/>
        <v>0</v>
      </c>
      <c r="AG354" s="179">
        <f t="shared" si="91"/>
        <v>0</v>
      </c>
      <c r="AH354" s="179">
        <f t="shared" si="91"/>
        <v>0</v>
      </c>
      <c r="AI354" s="179">
        <f t="shared" si="91"/>
        <v>0</v>
      </c>
      <c r="AJ354" s="179">
        <f t="shared" si="91"/>
        <v>0</v>
      </c>
      <c r="AK354" s="180">
        <f>AK227-AK291</f>
        <v>0</v>
      </c>
      <c r="AL354" s="181"/>
      <c r="AM354" s="18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  <c r="BA354" s="31"/>
      <c r="BB354" s="31"/>
      <c r="BC354" s="31"/>
      <c r="BD354" s="31"/>
      <c r="BE354" s="31"/>
      <c r="BF354" s="31"/>
      <c r="BG354" s="31"/>
      <c r="BH354" s="31"/>
      <c r="BI354" s="31"/>
    </row>
    <row r="355" spans="1:61" x14ac:dyDescent="0.2">
      <c r="A355" s="154" t="s">
        <v>7</v>
      </c>
      <c r="B355" s="182">
        <f>SUM(B352:B354)</f>
        <v>0</v>
      </c>
      <c r="C355" s="182">
        <f t="shared" ref="C355:H355" si="92">SUM(C352:C354)</f>
        <v>0</v>
      </c>
      <c r="D355" s="182">
        <f t="shared" si="92"/>
        <v>0</v>
      </c>
      <c r="E355" s="182">
        <f t="shared" si="92"/>
        <v>0</v>
      </c>
      <c r="F355" s="182">
        <f t="shared" si="92"/>
        <v>0</v>
      </c>
      <c r="G355" s="182">
        <f t="shared" si="92"/>
        <v>0</v>
      </c>
      <c r="H355" s="182">
        <f t="shared" si="92"/>
        <v>0</v>
      </c>
      <c r="I355" s="182">
        <f>SUM(I352:I354)</f>
        <v>0</v>
      </c>
      <c r="J355" s="182">
        <f>SUM(J352:J354)</f>
        <v>0</v>
      </c>
      <c r="K355" s="182">
        <f>SUM(K352:K354)</f>
        <v>0</v>
      </c>
      <c r="L355" s="182">
        <f t="shared" ref="L355:AK355" si="93">SUM(L352:L354)</f>
        <v>0</v>
      </c>
      <c r="M355" s="182">
        <f t="shared" si="93"/>
        <v>0</v>
      </c>
      <c r="N355" s="182">
        <f t="shared" si="93"/>
        <v>0</v>
      </c>
      <c r="O355" s="182">
        <f t="shared" si="93"/>
        <v>0</v>
      </c>
      <c r="P355" s="182">
        <f t="shared" si="93"/>
        <v>0</v>
      </c>
      <c r="Q355" s="182">
        <f t="shared" si="93"/>
        <v>0</v>
      </c>
      <c r="R355" s="182">
        <f t="shared" si="93"/>
        <v>0</v>
      </c>
      <c r="S355" s="182">
        <f t="shared" si="93"/>
        <v>0</v>
      </c>
      <c r="T355" s="182">
        <f t="shared" si="93"/>
        <v>0</v>
      </c>
      <c r="U355" s="182">
        <f t="shared" si="93"/>
        <v>0</v>
      </c>
      <c r="V355" s="182">
        <f t="shared" si="93"/>
        <v>0</v>
      </c>
      <c r="W355" s="182">
        <f t="shared" si="93"/>
        <v>0</v>
      </c>
      <c r="X355" s="182">
        <f t="shared" si="93"/>
        <v>0</v>
      </c>
      <c r="Y355" s="182">
        <f t="shared" si="93"/>
        <v>0</v>
      </c>
      <c r="Z355" s="182">
        <f t="shared" si="93"/>
        <v>0</v>
      </c>
      <c r="AA355" s="182">
        <f t="shared" si="93"/>
        <v>0</v>
      </c>
      <c r="AB355" s="182">
        <f t="shared" si="93"/>
        <v>0</v>
      </c>
      <c r="AC355" s="182">
        <f t="shared" si="93"/>
        <v>0</v>
      </c>
      <c r="AD355" s="182">
        <f t="shared" si="93"/>
        <v>0</v>
      </c>
      <c r="AE355" s="182">
        <f t="shared" si="93"/>
        <v>0</v>
      </c>
      <c r="AF355" s="182">
        <f t="shared" si="93"/>
        <v>0</v>
      </c>
      <c r="AG355" s="182">
        <f t="shared" si="93"/>
        <v>0</v>
      </c>
      <c r="AH355" s="182">
        <f t="shared" si="93"/>
        <v>0</v>
      </c>
      <c r="AI355" s="182">
        <f t="shared" si="93"/>
        <v>0</v>
      </c>
      <c r="AJ355" s="182">
        <f t="shared" si="93"/>
        <v>0</v>
      </c>
      <c r="AK355" s="184">
        <f t="shared" si="93"/>
        <v>0</v>
      </c>
      <c r="AL355" s="181"/>
      <c r="AM355" s="18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  <c r="BA355" s="31"/>
      <c r="BB355" s="31"/>
      <c r="BC355" s="31"/>
      <c r="BD355" s="31"/>
      <c r="BE355" s="31"/>
      <c r="BF355" s="31"/>
      <c r="BG355" s="31"/>
      <c r="BH355" s="31"/>
      <c r="BI355" s="31"/>
    </row>
    <row r="356" spans="1:61" x14ac:dyDescent="0.2">
      <c r="A356" s="120" t="s">
        <v>100</v>
      </c>
      <c r="B356" s="179"/>
      <c r="C356" s="179"/>
      <c r="D356" s="179"/>
      <c r="E356" s="179"/>
      <c r="F356" s="179"/>
      <c r="G356" s="179"/>
      <c r="H356" s="179"/>
      <c r="I356" s="179"/>
      <c r="J356" s="179"/>
      <c r="K356" s="179"/>
      <c r="L356" s="179"/>
      <c r="M356" s="179"/>
      <c r="N356" s="179"/>
      <c r="O356" s="179"/>
      <c r="P356" s="179"/>
      <c r="Q356" s="179"/>
      <c r="R356" s="179"/>
      <c r="S356" s="179"/>
      <c r="T356" s="179"/>
      <c r="U356" s="179"/>
      <c r="V356" s="179"/>
      <c r="W356" s="179"/>
      <c r="X356" s="179"/>
      <c r="Y356" s="179"/>
      <c r="Z356" s="179"/>
      <c r="AA356" s="179"/>
      <c r="AB356" s="179"/>
      <c r="AC356" s="179"/>
      <c r="AD356" s="179"/>
      <c r="AE356" s="179"/>
      <c r="AF356" s="179"/>
      <c r="AG356" s="179"/>
      <c r="AH356" s="179"/>
      <c r="AI356" s="179"/>
      <c r="AJ356" s="179"/>
      <c r="AK356" s="190"/>
      <c r="AL356" s="181"/>
      <c r="AM356" s="18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  <c r="BA356" s="31"/>
      <c r="BB356" s="31"/>
      <c r="BC356" s="31"/>
      <c r="BD356" s="31"/>
      <c r="BE356" s="31"/>
      <c r="BF356" s="31"/>
      <c r="BG356" s="31"/>
      <c r="BH356" s="31"/>
      <c r="BI356" s="31"/>
    </row>
    <row r="357" spans="1:61" x14ac:dyDescent="0.2">
      <c r="A357" s="110" t="s">
        <v>92</v>
      </c>
      <c r="B357" s="179">
        <f t="shared" ref="B357:X359" si="94">B230-B294</f>
        <v>0</v>
      </c>
      <c r="C357" s="179">
        <f t="shared" si="94"/>
        <v>0</v>
      </c>
      <c r="D357" s="179">
        <f t="shared" si="94"/>
        <v>0</v>
      </c>
      <c r="E357" s="179">
        <f t="shared" si="94"/>
        <v>0</v>
      </c>
      <c r="F357" s="179">
        <f t="shared" si="94"/>
        <v>0</v>
      </c>
      <c r="G357" s="179">
        <f t="shared" si="94"/>
        <v>0</v>
      </c>
      <c r="H357" s="179">
        <f t="shared" si="94"/>
        <v>0</v>
      </c>
      <c r="I357" s="179">
        <f t="shared" si="94"/>
        <v>0</v>
      </c>
      <c r="J357" s="179">
        <f t="shared" si="94"/>
        <v>0</v>
      </c>
      <c r="K357" s="179">
        <f t="shared" si="94"/>
        <v>0</v>
      </c>
      <c r="L357" s="179">
        <f t="shared" si="94"/>
        <v>0</v>
      </c>
      <c r="M357" s="179">
        <f t="shared" si="94"/>
        <v>0</v>
      </c>
      <c r="N357" s="179">
        <f t="shared" si="94"/>
        <v>0</v>
      </c>
      <c r="O357" s="179">
        <f t="shared" si="94"/>
        <v>0</v>
      </c>
      <c r="P357" s="179">
        <f t="shared" si="94"/>
        <v>0</v>
      </c>
      <c r="Q357" s="179">
        <f t="shared" si="94"/>
        <v>0</v>
      </c>
      <c r="R357" s="179">
        <f t="shared" si="94"/>
        <v>0</v>
      </c>
      <c r="S357" s="179">
        <f t="shared" si="94"/>
        <v>0</v>
      </c>
      <c r="T357" s="179">
        <f t="shared" si="94"/>
        <v>0</v>
      </c>
      <c r="U357" s="179">
        <f t="shared" si="94"/>
        <v>0</v>
      </c>
      <c r="V357" s="179">
        <f t="shared" si="94"/>
        <v>0</v>
      </c>
      <c r="W357" s="179">
        <f t="shared" si="94"/>
        <v>0</v>
      </c>
      <c r="X357" s="179">
        <f t="shared" si="94"/>
        <v>0</v>
      </c>
      <c r="Y357" s="179">
        <f>Y230-Y294</f>
        <v>0</v>
      </c>
      <c r="Z357" s="179">
        <f t="shared" ref="Z357:AK359" si="95">Z230-Z294</f>
        <v>0</v>
      </c>
      <c r="AA357" s="179">
        <f t="shared" si="95"/>
        <v>0</v>
      </c>
      <c r="AB357" s="179">
        <f t="shared" si="95"/>
        <v>0</v>
      </c>
      <c r="AC357" s="179">
        <f t="shared" si="95"/>
        <v>0</v>
      </c>
      <c r="AD357" s="179">
        <f t="shared" si="95"/>
        <v>0</v>
      </c>
      <c r="AE357" s="179">
        <f t="shared" si="95"/>
        <v>0</v>
      </c>
      <c r="AF357" s="179">
        <f t="shared" si="95"/>
        <v>0</v>
      </c>
      <c r="AG357" s="179">
        <f t="shared" si="95"/>
        <v>0</v>
      </c>
      <c r="AH357" s="179">
        <f t="shared" si="95"/>
        <v>0</v>
      </c>
      <c r="AI357" s="179">
        <f t="shared" si="95"/>
        <v>0</v>
      </c>
      <c r="AJ357" s="179">
        <f t="shared" si="95"/>
        <v>0</v>
      </c>
      <c r="AK357" s="180">
        <f t="shared" si="95"/>
        <v>0</v>
      </c>
      <c r="AL357" s="181"/>
      <c r="AM357" s="18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  <c r="BA357" s="31"/>
      <c r="BB357" s="31"/>
      <c r="BC357" s="31"/>
      <c r="BD357" s="31"/>
      <c r="BE357" s="31"/>
      <c r="BF357" s="31"/>
      <c r="BG357" s="31"/>
      <c r="BH357" s="31"/>
      <c r="BI357" s="31"/>
    </row>
    <row r="358" spans="1:61" x14ac:dyDescent="0.2">
      <c r="A358" s="110" t="s">
        <v>93</v>
      </c>
      <c r="B358" s="179">
        <f t="shared" si="94"/>
        <v>0</v>
      </c>
      <c r="C358" s="179">
        <f t="shared" si="94"/>
        <v>0</v>
      </c>
      <c r="D358" s="179">
        <f t="shared" si="94"/>
        <v>0</v>
      </c>
      <c r="E358" s="179">
        <f t="shared" si="94"/>
        <v>0</v>
      </c>
      <c r="F358" s="179">
        <f t="shared" si="94"/>
        <v>0</v>
      </c>
      <c r="G358" s="179">
        <f t="shared" si="94"/>
        <v>0</v>
      </c>
      <c r="H358" s="179">
        <f t="shared" si="94"/>
        <v>0</v>
      </c>
      <c r="I358" s="179">
        <f t="shared" si="94"/>
        <v>0</v>
      </c>
      <c r="J358" s="179">
        <f t="shared" si="94"/>
        <v>0</v>
      </c>
      <c r="K358" s="179">
        <f t="shared" si="94"/>
        <v>0</v>
      </c>
      <c r="L358" s="179">
        <f t="shared" si="94"/>
        <v>0</v>
      </c>
      <c r="M358" s="179">
        <f t="shared" si="94"/>
        <v>0</v>
      </c>
      <c r="N358" s="179">
        <f t="shared" si="94"/>
        <v>0</v>
      </c>
      <c r="O358" s="179">
        <f t="shared" si="94"/>
        <v>0</v>
      </c>
      <c r="P358" s="179">
        <f t="shared" si="94"/>
        <v>0</v>
      </c>
      <c r="Q358" s="179">
        <f t="shared" si="94"/>
        <v>0</v>
      </c>
      <c r="R358" s="179">
        <f t="shared" si="94"/>
        <v>0</v>
      </c>
      <c r="S358" s="179">
        <f t="shared" si="94"/>
        <v>0</v>
      </c>
      <c r="T358" s="179">
        <f t="shared" si="94"/>
        <v>0</v>
      </c>
      <c r="U358" s="179">
        <f t="shared" si="94"/>
        <v>0</v>
      </c>
      <c r="V358" s="179">
        <f t="shared" si="94"/>
        <v>0</v>
      </c>
      <c r="W358" s="179">
        <f t="shared" si="94"/>
        <v>0</v>
      </c>
      <c r="X358" s="179">
        <f t="shared" si="94"/>
        <v>0</v>
      </c>
      <c r="Y358" s="179">
        <f>Y231-Y295</f>
        <v>0</v>
      </c>
      <c r="Z358" s="179">
        <f t="shared" si="95"/>
        <v>0</v>
      </c>
      <c r="AA358" s="179">
        <f t="shared" si="95"/>
        <v>0</v>
      </c>
      <c r="AB358" s="179">
        <f t="shared" si="95"/>
        <v>0</v>
      </c>
      <c r="AC358" s="179">
        <f t="shared" si="95"/>
        <v>0</v>
      </c>
      <c r="AD358" s="179">
        <f t="shared" si="95"/>
        <v>0</v>
      </c>
      <c r="AE358" s="179">
        <f t="shared" si="95"/>
        <v>0</v>
      </c>
      <c r="AF358" s="179">
        <f t="shared" si="95"/>
        <v>0</v>
      </c>
      <c r="AG358" s="179">
        <f t="shared" si="95"/>
        <v>0</v>
      </c>
      <c r="AH358" s="179">
        <f t="shared" si="95"/>
        <v>0</v>
      </c>
      <c r="AI358" s="179">
        <f t="shared" si="95"/>
        <v>0</v>
      </c>
      <c r="AJ358" s="179">
        <f t="shared" si="95"/>
        <v>0</v>
      </c>
      <c r="AK358" s="180">
        <f t="shared" si="95"/>
        <v>0</v>
      </c>
      <c r="AL358" s="181"/>
      <c r="AM358" s="18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  <c r="BA358" s="31"/>
      <c r="BB358" s="31"/>
      <c r="BC358" s="31"/>
      <c r="BD358" s="31"/>
      <c r="BE358" s="31"/>
      <c r="BF358" s="31"/>
      <c r="BG358" s="31"/>
      <c r="BH358" s="31"/>
      <c r="BI358" s="31"/>
    </row>
    <row r="359" spans="1:61" x14ac:dyDescent="0.2">
      <c r="A359" s="110" t="s">
        <v>1</v>
      </c>
      <c r="B359" s="179">
        <f t="shared" si="94"/>
        <v>0</v>
      </c>
      <c r="C359" s="179">
        <f t="shared" si="94"/>
        <v>0</v>
      </c>
      <c r="D359" s="179">
        <f t="shared" si="94"/>
        <v>0</v>
      </c>
      <c r="E359" s="179">
        <f t="shared" si="94"/>
        <v>0</v>
      </c>
      <c r="F359" s="179">
        <f t="shared" si="94"/>
        <v>0</v>
      </c>
      <c r="G359" s="179">
        <f t="shared" si="94"/>
        <v>0</v>
      </c>
      <c r="H359" s="179">
        <f t="shared" si="94"/>
        <v>0</v>
      </c>
      <c r="I359" s="179">
        <f t="shared" si="94"/>
        <v>0</v>
      </c>
      <c r="J359" s="179">
        <f t="shared" si="94"/>
        <v>0</v>
      </c>
      <c r="K359" s="179">
        <f t="shared" si="94"/>
        <v>0</v>
      </c>
      <c r="L359" s="179">
        <f t="shared" si="94"/>
        <v>0</v>
      </c>
      <c r="M359" s="179">
        <f t="shared" si="94"/>
        <v>0</v>
      </c>
      <c r="N359" s="179">
        <f t="shared" si="94"/>
        <v>0</v>
      </c>
      <c r="O359" s="179">
        <f t="shared" si="94"/>
        <v>0</v>
      </c>
      <c r="P359" s="179">
        <f t="shared" si="94"/>
        <v>0</v>
      </c>
      <c r="Q359" s="179">
        <f t="shared" si="94"/>
        <v>0</v>
      </c>
      <c r="R359" s="179">
        <f t="shared" si="94"/>
        <v>0</v>
      </c>
      <c r="S359" s="179">
        <f t="shared" si="94"/>
        <v>0</v>
      </c>
      <c r="T359" s="179">
        <f t="shared" si="94"/>
        <v>0</v>
      </c>
      <c r="U359" s="179">
        <f t="shared" si="94"/>
        <v>0</v>
      </c>
      <c r="V359" s="179">
        <f t="shared" si="94"/>
        <v>0</v>
      </c>
      <c r="W359" s="179">
        <f t="shared" si="94"/>
        <v>0</v>
      </c>
      <c r="X359" s="179">
        <f t="shared" si="94"/>
        <v>0</v>
      </c>
      <c r="Y359" s="179">
        <f>Y232-Y296</f>
        <v>0</v>
      </c>
      <c r="Z359" s="179">
        <f t="shared" si="95"/>
        <v>0</v>
      </c>
      <c r="AA359" s="179">
        <f t="shared" si="95"/>
        <v>0</v>
      </c>
      <c r="AB359" s="179">
        <f t="shared" si="95"/>
        <v>0</v>
      </c>
      <c r="AC359" s="179">
        <f t="shared" si="95"/>
        <v>0</v>
      </c>
      <c r="AD359" s="179">
        <f t="shared" si="95"/>
        <v>0</v>
      </c>
      <c r="AE359" s="179">
        <f t="shared" si="95"/>
        <v>0</v>
      </c>
      <c r="AF359" s="179">
        <f t="shared" si="95"/>
        <v>0</v>
      </c>
      <c r="AG359" s="179">
        <f t="shared" si="95"/>
        <v>0</v>
      </c>
      <c r="AH359" s="179">
        <f t="shared" si="95"/>
        <v>0</v>
      </c>
      <c r="AI359" s="179">
        <f t="shared" si="95"/>
        <v>0</v>
      </c>
      <c r="AJ359" s="179">
        <f t="shared" si="95"/>
        <v>0</v>
      </c>
      <c r="AK359" s="180">
        <f t="shared" si="95"/>
        <v>0</v>
      </c>
      <c r="AL359" s="181"/>
      <c r="AM359" s="18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  <c r="BA359" s="31"/>
      <c r="BB359" s="31"/>
      <c r="BC359" s="31"/>
      <c r="BD359" s="31"/>
      <c r="BE359" s="31"/>
      <c r="BF359" s="31"/>
      <c r="BG359" s="31"/>
      <c r="BH359" s="31"/>
      <c r="BI359" s="31"/>
    </row>
    <row r="360" spans="1:61" x14ac:dyDescent="0.2">
      <c r="A360" s="154" t="s">
        <v>7</v>
      </c>
      <c r="B360" s="182">
        <f t="shared" ref="B360:AK360" si="96">SUM(B357:B359)</f>
        <v>0</v>
      </c>
      <c r="C360" s="182">
        <f t="shared" si="96"/>
        <v>0</v>
      </c>
      <c r="D360" s="182">
        <f t="shared" si="96"/>
        <v>0</v>
      </c>
      <c r="E360" s="182">
        <f t="shared" si="96"/>
        <v>0</v>
      </c>
      <c r="F360" s="182">
        <f t="shared" si="96"/>
        <v>0</v>
      </c>
      <c r="G360" s="182">
        <f t="shared" si="96"/>
        <v>0</v>
      </c>
      <c r="H360" s="182">
        <f t="shared" si="96"/>
        <v>0</v>
      </c>
      <c r="I360" s="182">
        <f>SUM(I357:I359)</f>
        <v>0</v>
      </c>
      <c r="J360" s="182">
        <f>SUM(J357:J359)</f>
        <v>0</v>
      </c>
      <c r="K360" s="182">
        <f>SUM(K357:K359)</f>
        <v>0</v>
      </c>
      <c r="L360" s="182">
        <f t="shared" si="96"/>
        <v>0</v>
      </c>
      <c r="M360" s="182">
        <f t="shared" si="96"/>
        <v>0</v>
      </c>
      <c r="N360" s="182">
        <f t="shared" si="96"/>
        <v>0</v>
      </c>
      <c r="O360" s="182">
        <f t="shared" si="96"/>
        <v>0</v>
      </c>
      <c r="P360" s="182">
        <f t="shared" si="96"/>
        <v>0</v>
      </c>
      <c r="Q360" s="182">
        <f t="shared" si="96"/>
        <v>0</v>
      </c>
      <c r="R360" s="182">
        <f t="shared" si="96"/>
        <v>0</v>
      </c>
      <c r="S360" s="182">
        <f t="shared" si="96"/>
        <v>0</v>
      </c>
      <c r="T360" s="182">
        <f t="shared" si="96"/>
        <v>0</v>
      </c>
      <c r="U360" s="182">
        <f t="shared" si="96"/>
        <v>0</v>
      </c>
      <c r="V360" s="182">
        <f t="shared" si="96"/>
        <v>0</v>
      </c>
      <c r="W360" s="182">
        <f t="shared" si="96"/>
        <v>0</v>
      </c>
      <c r="X360" s="182">
        <f t="shared" si="96"/>
        <v>0</v>
      </c>
      <c r="Y360" s="182">
        <f t="shared" si="96"/>
        <v>0</v>
      </c>
      <c r="Z360" s="182">
        <f t="shared" si="96"/>
        <v>0</v>
      </c>
      <c r="AA360" s="182">
        <f t="shared" si="96"/>
        <v>0</v>
      </c>
      <c r="AB360" s="182">
        <f t="shared" si="96"/>
        <v>0</v>
      </c>
      <c r="AC360" s="182">
        <f t="shared" si="96"/>
        <v>0</v>
      </c>
      <c r="AD360" s="182">
        <f t="shared" si="96"/>
        <v>0</v>
      </c>
      <c r="AE360" s="182">
        <f t="shared" si="96"/>
        <v>0</v>
      </c>
      <c r="AF360" s="182">
        <f t="shared" si="96"/>
        <v>0</v>
      </c>
      <c r="AG360" s="182">
        <f t="shared" si="96"/>
        <v>0</v>
      </c>
      <c r="AH360" s="182">
        <f t="shared" si="96"/>
        <v>0</v>
      </c>
      <c r="AI360" s="182">
        <f t="shared" si="96"/>
        <v>0</v>
      </c>
      <c r="AJ360" s="182">
        <f t="shared" si="96"/>
        <v>0</v>
      </c>
      <c r="AK360" s="184">
        <f t="shared" si="96"/>
        <v>0</v>
      </c>
      <c r="AL360" s="181"/>
      <c r="AM360" s="18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  <c r="BA360" s="31"/>
      <c r="BB360" s="31"/>
      <c r="BC360" s="31"/>
      <c r="BD360" s="31"/>
      <c r="BE360" s="31"/>
      <c r="BF360" s="31"/>
      <c r="BG360" s="31"/>
      <c r="BH360" s="31"/>
      <c r="BI360" s="31"/>
    </row>
    <row r="361" spans="1:61" x14ac:dyDescent="0.2">
      <c r="A361" s="120" t="s">
        <v>74</v>
      </c>
      <c r="B361" s="179"/>
      <c r="C361" s="179"/>
      <c r="D361" s="179"/>
      <c r="E361" s="179"/>
      <c r="F361" s="179"/>
      <c r="G361" s="179"/>
      <c r="H361" s="179"/>
      <c r="I361" s="179"/>
      <c r="J361" s="179"/>
      <c r="K361" s="179"/>
      <c r="L361" s="179"/>
      <c r="M361" s="179"/>
      <c r="N361" s="179"/>
      <c r="O361" s="179"/>
      <c r="P361" s="179"/>
      <c r="Q361" s="179"/>
      <c r="R361" s="179"/>
      <c r="S361" s="179"/>
      <c r="T361" s="179"/>
      <c r="U361" s="179"/>
      <c r="V361" s="179"/>
      <c r="W361" s="179"/>
      <c r="X361" s="179"/>
      <c r="Y361" s="179"/>
      <c r="Z361" s="179"/>
      <c r="AA361" s="179"/>
      <c r="AB361" s="179"/>
      <c r="AC361" s="179"/>
      <c r="AD361" s="179"/>
      <c r="AE361" s="179"/>
      <c r="AF361" s="179"/>
      <c r="AG361" s="179"/>
      <c r="AH361" s="179"/>
      <c r="AI361" s="179"/>
      <c r="AJ361" s="179"/>
      <c r="AK361" s="190"/>
      <c r="AL361" s="181"/>
      <c r="AM361" s="18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  <c r="BA361" s="31"/>
      <c r="BB361" s="31"/>
      <c r="BC361" s="31"/>
      <c r="BD361" s="31"/>
      <c r="BE361" s="31"/>
      <c r="BF361" s="31"/>
      <c r="BG361" s="31"/>
      <c r="BH361" s="31"/>
      <c r="BI361" s="31"/>
    </row>
    <row r="362" spans="1:61" x14ac:dyDescent="0.2">
      <c r="A362" s="110" t="s">
        <v>92</v>
      </c>
      <c r="B362" s="179">
        <f t="shared" ref="B362:X364" si="97">B235-B299</f>
        <v>0</v>
      </c>
      <c r="C362" s="179">
        <f t="shared" si="97"/>
        <v>0</v>
      </c>
      <c r="D362" s="179">
        <f t="shared" si="97"/>
        <v>0</v>
      </c>
      <c r="E362" s="179">
        <f t="shared" si="97"/>
        <v>0</v>
      </c>
      <c r="F362" s="179">
        <f t="shared" si="97"/>
        <v>0</v>
      </c>
      <c r="G362" s="179">
        <f t="shared" si="97"/>
        <v>0</v>
      </c>
      <c r="H362" s="179">
        <f t="shared" si="97"/>
        <v>0</v>
      </c>
      <c r="I362" s="179">
        <f t="shared" si="97"/>
        <v>0</v>
      </c>
      <c r="J362" s="179">
        <f t="shared" si="97"/>
        <v>0</v>
      </c>
      <c r="K362" s="179">
        <f t="shared" si="97"/>
        <v>0</v>
      </c>
      <c r="L362" s="179">
        <f t="shared" si="97"/>
        <v>0</v>
      </c>
      <c r="M362" s="179">
        <f t="shared" si="97"/>
        <v>0</v>
      </c>
      <c r="N362" s="179">
        <f t="shared" si="97"/>
        <v>0</v>
      </c>
      <c r="O362" s="179">
        <f t="shared" si="97"/>
        <v>0</v>
      </c>
      <c r="P362" s="179">
        <f t="shared" si="97"/>
        <v>0</v>
      </c>
      <c r="Q362" s="179">
        <f t="shared" si="97"/>
        <v>0</v>
      </c>
      <c r="R362" s="179">
        <f t="shared" si="97"/>
        <v>0</v>
      </c>
      <c r="S362" s="179">
        <f t="shared" si="97"/>
        <v>0</v>
      </c>
      <c r="T362" s="179">
        <f t="shared" si="97"/>
        <v>0</v>
      </c>
      <c r="U362" s="179">
        <f t="shared" si="97"/>
        <v>0</v>
      </c>
      <c r="V362" s="179">
        <f t="shared" si="97"/>
        <v>0</v>
      </c>
      <c r="W362" s="179">
        <f t="shared" si="97"/>
        <v>0</v>
      </c>
      <c r="X362" s="179">
        <f t="shared" si="97"/>
        <v>0</v>
      </c>
      <c r="Y362" s="179">
        <f>Y235-Y299</f>
        <v>0</v>
      </c>
      <c r="Z362" s="179">
        <f t="shared" ref="Z362:AK364" si="98">Z235-Z299</f>
        <v>0</v>
      </c>
      <c r="AA362" s="179">
        <f t="shared" si="98"/>
        <v>0</v>
      </c>
      <c r="AB362" s="179">
        <f t="shared" si="98"/>
        <v>0</v>
      </c>
      <c r="AC362" s="179">
        <f t="shared" si="98"/>
        <v>0</v>
      </c>
      <c r="AD362" s="179">
        <f t="shared" si="98"/>
        <v>0</v>
      </c>
      <c r="AE362" s="179">
        <f t="shared" si="98"/>
        <v>0</v>
      </c>
      <c r="AF362" s="179">
        <f t="shared" si="98"/>
        <v>0</v>
      </c>
      <c r="AG362" s="179">
        <f t="shared" si="98"/>
        <v>0</v>
      </c>
      <c r="AH362" s="179">
        <f t="shared" si="98"/>
        <v>0</v>
      </c>
      <c r="AI362" s="179">
        <f t="shared" si="98"/>
        <v>0</v>
      </c>
      <c r="AJ362" s="179">
        <f t="shared" si="98"/>
        <v>0</v>
      </c>
      <c r="AK362" s="180">
        <f t="shared" si="98"/>
        <v>0</v>
      </c>
      <c r="AL362" s="181"/>
      <c r="AM362" s="18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  <c r="BA362" s="31"/>
      <c r="BB362" s="31"/>
      <c r="BC362" s="31"/>
      <c r="BD362" s="31"/>
      <c r="BE362" s="31"/>
      <c r="BF362" s="31"/>
      <c r="BG362" s="31"/>
      <c r="BH362" s="31"/>
      <c r="BI362" s="31"/>
    </row>
    <row r="363" spans="1:61" x14ac:dyDescent="0.2">
      <c r="A363" s="110" t="s">
        <v>93</v>
      </c>
      <c r="B363" s="179">
        <f t="shared" si="97"/>
        <v>0</v>
      </c>
      <c r="C363" s="179">
        <f t="shared" si="97"/>
        <v>0</v>
      </c>
      <c r="D363" s="179">
        <f t="shared" si="97"/>
        <v>0</v>
      </c>
      <c r="E363" s="179">
        <f t="shared" si="97"/>
        <v>0</v>
      </c>
      <c r="F363" s="179">
        <f t="shared" si="97"/>
        <v>0</v>
      </c>
      <c r="G363" s="189">
        <f t="shared" si="97"/>
        <v>0</v>
      </c>
      <c r="H363" s="179">
        <f t="shared" si="97"/>
        <v>0</v>
      </c>
      <c r="I363" s="179">
        <f t="shared" si="97"/>
        <v>0</v>
      </c>
      <c r="J363" s="179">
        <f t="shared" si="97"/>
        <v>0</v>
      </c>
      <c r="K363" s="179">
        <f t="shared" si="97"/>
        <v>0</v>
      </c>
      <c r="L363" s="179">
        <f t="shared" si="97"/>
        <v>0</v>
      </c>
      <c r="M363" s="179">
        <f t="shared" si="97"/>
        <v>0</v>
      </c>
      <c r="N363" s="179">
        <f t="shared" si="97"/>
        <v>0</v>
      </c>
      <c r="O363" s="179">
        <f t="shared" si="97"/>
        <v>0</v>
      </c>
      <c r="P363" s="179">
        <f t="shared" si="97"/>
        <v>0</v>
      </c>
      <c r="Q363" s="179">
        <f t="shared" si="97"/>
        <v>0</v>
      </c>
      <c r="R363" s="179">
        <f t="shared" si="97"/>
        <v>0</v>
      </c>
      <c r="S363" s="179">
        <f t="shared" si="97"/>
        <v>0</v>
      </c>
      <c r="T363" s="179">
        <f t="shared" si="97"/>
        <v>0</v>
      </c>
      <c r="U363" s="179">
        <f t="shared" si="97"/>
        <v>0</v>
      </c>
      <c r="V363" s="179">
        <f t="shared" si="97"/>
        <v>0</v>
      </c>
      <c r="W363" s="179">
        <f t="shared" si="97"/>
        <v>0</v>
      </c>
      <c r="X363" s="179">
        <f t="shared" si="97"/>
        <v>0</v>
      </c>
      <c r="Y363" s="179">
        <f>Y236-Y300</f>
        <v>0</v>
      </c>
      <c r="Z363" s="179">
        <f t="shared" si="98"/>
        <v>0</v>
      </c>
      <c r="AA363" s="179">
        <f t="shared" si="98"/>
        <v>0</v>
      </c>
      <c r="AB363" s="179">
        <f t="shared" si="98"/>
        <v>0</v>
      </c>
      <c r="AC363" s="179">
        <f t="shared" si="98"/>
        <v>0</v>
      </c>
      <c r="AD363" s="179">
        <f t="shared" si="98"/>
        <v>0</v>
      </c>
      <c r="AE363" s="179">
        <f t="shared" si="98"/>
        <v>0</v>
      </c>
      <c r="AF363" s="179">
        <f t="shared" si="98"/>
        <v>0</v>
      </c>
      <c r="AG363" s="179">
        <f t="shared" si="98"/>
        <v>0</v>
      </c>
      <c r="AH363" s="179">
        <f t="shared" si="98"/>
        <v>0</v>
      </c>
      <c r="AI363" s="179">
        <f t="shared" si="98"/>
        <v>0</v>
      </c>
      <c r="AJ363" s="179">
        <f t="shared" si="98"/>
        <v>0</v>
      </c>
      <c r="AK363" s="180">
        <f t="shared" si="98"/>
        <v>0</v>
      </c>
      <c r="AL363" s="181"/>
      <c r="AM363" s="18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  <c r="BA363" s="31"/>
      <c r="BB363" s="31"/>
      <c r="BC363" s="31"/>
      <c r="BD363" s="31"/>
      <c r="BE363" s="31"/>
      <c r="BF363" s="31"/>
      <c r="BG363" s="31"/>
      <c r="BH363" s="31"/>
      <c r="BI363" s="31"/>
    </row>
    <row r="364" spans="1:61" x14ac:dyDescent="0.2">
      <c r="A364" s="110" t="s">
        <v>1</v>
      </c>
      <c r="B364" s="179">
        <f t="shared" si="97"/>
        <v>0</v>
      </c>
      <c r="C364" s="179">
        <f t="shared" si="97"/>
        <v>0</v>
      </c>
      <c r="D364" s="179">
        <f t="shared" si="97"/>
        <v>0</v>
      </c>
      <c r="E364" s="179">
        <f t="shared" si="97"/>
        <v>0</v>
      </c>
      <c r="F364" s="179">
        <f t="shared" si="97"/>
        <v>0</v>
      </c>
      <c r="G364" s="179">
        <f t="shared" si="97"/>
        <v>0</v>
      </c>
      <c r="H364" s="179">
        <f t="shared" si="97"/>
        <v>0</v>
      </c>
      <c r="I364" s="179">
        <f t="shared" si="97"/>
        <v>0</v>
      </c>
      <c r="J364" s="179">
        <f t="shared" si="97"/>
        <v>0</v>
      </c>
      <c r="K364" s="179">
        <f t="shared" si="97"/>
        <v>0</v>
      </c>
      <c r="L364" s="179">
        <f t="shared" si="97"/>
        <v>0</v>
      </c>
      <c r="M364" s="179">
        <f t="shared" si="97"/>
        <v>0</v>
      </c>
      <c r="N364" s="179">
        <f t="shared" si="97"/>
        <v>0</v>
      </c>
      <c r="O364" s="179">
        <f t="shared" si="97"/>
        <v>0</v>
      </c>
      <c r="P364" s="179">
        <f t="shared" si="97"/>
        <v>0</v>
      </c>
      <c r="Q364" s="179">
        <f t="shared" si="97"/>
        <v>0</v>
      </c>
      <c r="R364" s="179">
        <f t="shared" si="97"/>
        <v>0</v>
      </c>
      <c r="S364" s="179">
        <f t="shared" si="97"/>
        <v>0</v>
      </c>
      <c r="T364" s="189">
        <f t="shared" si="97"/>
        <v>0</v>
      </c>
      <c r="U364" s="179">
        <f t="shared" si="97"/>
        <v>0</v>
      </c>
      <c r="V364" s="179">
        <f t="shared" si="97"/>
        <v>0</v>
      </c>
      <c r="W364" s="179">
        <f t="shared" si="97"/>
        <v>0</v>
      </c>
      <c r="X364" s="179">
        <f t="shared" si="97"/>
        <v>0</v>
      </c>
      <c r="Y364" s="179">
        <f>Y237-Y301</f>
        <v>0</v>
      </c>
      <c r="Z364" s="179">
        <f t="shared" si="98"/>
        <v>0</v>
      </c>
      <c r="AA364" s="179">
        <f t="shared" si="98"/>
        <v>0</v>
      </c>
      <c r="AB364" s="179">
        <f t="shared" si="98"/>
        <v>0</v>
      </c>
      <c r="AC364" s="179">
        <f t="shared" si="98"/>
        <v>0</v>
      </c>
      <c r="AD364" s="179">
        <f t="shared" si="98"/>
        <v>0</v>
      </c>
      <c r="AE364" s="179">
        <f t="shared" si="98"/>
        <v>0</v>
      </c>
      <c r="AF364" s="179">
        <f t="shared" si="98"/>
        <v>0</v>
      </c>
      <c r="AG364" s="179">
        <f t="shared" si="98"/>
        <v>0</v>
      </c>
      <c r="AH364" s="179">
        <f t="shared" si="98"/>
        <v>0</v>
      </c>
      <c r="AI364" s="179">
        <f t="shared" si="98"/>
        <v>0</v>
      </c>
      <c r="AJ364" s="179">
        <f t="shared" si="98"/>
        <v>0</v>
      </c>
      <c r="AK364" s="180">
        <f t="shared" si="98"/>
        <v>0</v>
      </c>
      <c r="AL364" s="181"/>
      <c r="AM364" s="18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  <c r="BA364" s="31"/>
      <c r="BB364" s="31"/>
      <c r="BC364" s="31"/>
      <c r="BD364" s="31"/>
      <c r="BE364" s="31"/>
      <c r="BF364" s="31"/>
      <c r="BG364" s="31"/>
      <c r="BH364" s="31"/>
      <c r="BI364" s="31"/>
    </row>
    <row r="365" spans="1:61" x14ac:dyDescent="0.2">
      <c r="A365" s="154" t="s">
        <v>7</v>
      </c>
      <c r="B365" s="182">
        <f t="shared" ref="B365:AK365" si="99">SUM(B362:B364)</f>
        <v>0</v>
      </c>
      <c r="C365" s="182">
        <f t="shared" si="99"/>
        <v>0</v>
      </c>
      <c r="D365" s="182">
        <f t="shared" si="99"/>
        <v>0</v>
      </c>
      <c r="E365" s="182">
        <f t="shared" si="99"/>
        <v>0</v>
      </c>
      <c r="F365" s="182">
        <f t="shared" si="99"/>
        <v>0</v>
      </c>
      <c r="G365" s="182">
        <f t="shared" si="99"/>
        <v>0</v>
      </c>
      <c r="H365" s="182">
        <f t="shared" si="99"/>
        <v>0</v>
      </c>
      <c r="I365" s="182">
        <f>SUM(I362:I364)</f>
        <v>0</v>
      </c>
      <c r="J365" s="182">
        <f>SUM(J362:J364)</f>
        <v>0</v>
      </c>
      <c r="K365" s="182">
        <f>SUM(K362:K364)</f>
        <v>0</v>
      </c>
      <c r="L365" s="182">
        <f t="shared" si="99"/>
        <v>0</v>
      </c>
      <c r="M365" s="182">
        <f t="shared" si="99"/>
        <v>0</v>
      </c>
      <c r="N365" s="182">
        <f t="shared" si="99"/>
        <v>0</v>
      </c>
      <c r="O365" s="182">
        <f t="shared" si="99"/>
        <v>0</v>
      </c>
      <c r="P365" s="182">
        <f t="shared" si="99"/>
        <v>0</v>
      </c>
      <c r="Q365" s="182">
        <f t="shared" si="99"/>
        <v>0</v>
      </c>
      <c r="R365" s="182">
        <f t="shared" si="99"/>
        <v>0</v>
      </c>
      <c r="S365" s="182">
        <f t="shared" si="99"/>
        <v>0</v>
      </c>
      <c r="T365" s="182">
        <f t="shared" si="99"/>
        <v>0</v>
      </c>
      <c r="U365" s="182">
        <f t="shared" si="99"/>
        <v>0</v>
      </c>
      <c r="V365" s="182">
        <f t="shared" si="99"/>
        <v>0</v>
      </c>
      <c r="W365" s="182">
        <f t="shared" si="99"/>
        <v>0</v>
      </c>
      <c r="X365" s="182">
        <f t="shared" si="99"/>
        <v>0</v>
      </c>
      <c r="Y365" s="182">
        <f t="shared" si="99"/>
        <v>0</v>
      </c>
      <c r="Z365" s="182">
        <f t="shared" si="99"/>
        <v>0</v>
      </c>
      <c r="AA365" s="182">
        <f t="shared" si="99"/>
        <v>0</v>
      </c>
      <c r="AB365" s="182">
        <f t="shared" si="99"/>
        <v>0</v>
      </c>
      <c r="AC365" s="182">
        <f t="shared" si="99"/>
        <v>0</v>
      </c>
      <c r="AD365" s="182">
        <f t="shared" si="99"/>
        <v>0</v>
      </c>
      <c r="AE365" s="182">
        <f t="shared" si="99"/>
        <v>0</v>
      </c>
      <c r="AF365" s="182">
        <f t="shared" si="99"/>
        <v>0</v>
      </c>
      <c r="AG365" s="182">
        <f t="shared" si="99"/>
        <v>0</v>
      </c>
      <c r="AH365" s="182">
        <f t="shared" si="99"/>
        <v>0</v>
      </c>
      <c r="AI365" s="182">
        <f t="shared" si="99"/>
        <v>0</v>
      </c>
      <c r="AJ365" s="182">
        <f t="shared" si="99"/>
        <v>0</v>
      </c>
      <c r="AK365" s="184">
        <f t="shared" si="99"/>
        <v>0</v>
      </c>
      <c r="AL365" s="181"/>
      <c r="AM365" s="18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  <c r="BA365" s="31"/>
      <c r="BB365" s="31"/>
      <c r="BC365" s="31"/>
      <c r="BD365" s="31"/>
      <c r="BE365" s="31"/>
      <c r="BF365" s="31"/>
      <c r="BG365" s="31"/>
      <c r="BH365" s="31"/>
      <c r="BI365" s="31"/>
    </row>
    <row r="366" spans="1:61" x14ac:dyDescent="0.2">
      <c r="A366" s="120" t="s">
        <v>75</v>
      </c>
      <c r="B366" s="179"/>
      <c r="C366" s="179"/>
      <c r="D366" s="179"/>
      <c r="E366" s="179"/>
      <c r="F366" s="179"/>
      <c r="G366" s="179"/>
      <c r="H366" s="179"/>
      <c r="I366" s="179"/>
      <c r="J366" s="179"/>
      <c r="K366" s="179"/>
      <c r="L366" s="179"/>
      <c r="M366" s="179"/>
      <c r="N366" s="179"/>
      <c r="O366" s="179"/>
      <c r="P366" s="179"/>
      <c r="Q366" s="179"/>
      <c r="R366" s="179"/>
      <c r="S366" s="179"/>
      <c r="T366" s="179"/>
      <c r="U366" s="179"/>
      <c r="V366" s="179"/>
      <c r="W366" s="179"/>
      <c r="X366" s="179"/>
      <c r="Y366" s="179"/>
      <c r="Z366" s="179"/>
      <c r="AA366" s="179"/>
      <c r="AB366" s="179"/>
      <c r="AC366" s="179"/>
      <c r="AD366" s="179"/>
      <c r="AE366" s="179"/>
      <c r="AF366" s="179"/>
      <c r="AG366" s="179"/>
      <c r="AH366" s="179"/>
      <c r="AI366" s="179"/>
      <c r="AJ366" s="179"/>
      <c r="AK366" s="190"/>
      <c r="AL366" s="181"/>
      <c r="AM366" s="18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  <c r="BA366" s="31"/>
      <c r="BB366" s="31"/>
      <c r="BC366" s="31"/>
      <c r="BD366" s="31"/>
      <c r="BE366" s="31"/>
      <c r="BF366" s="31"/>
      <c r="BG366" s="31"/>
      <c r="BH366" s="31"/>
      <c r="BI366" s="31"/>
    </row>
    <row r="367" spans="1:61" x14ac:dyDescent="0.2">
      <c r="A367" s="110" t="s">
        <v>92</v>
      </c>
      <c r="B367" s="179">
        <f>B240-B304</f>
        <v>0</v>
      </c>
      <c r="C367" s="179">
        <f t="shared" ref="B367:X369" si="100">C240-C304</f>
        <v>0</v>
      </c>
      <c r="D367" s="179">
        <f t="shared" si="100"/>
        <v>0</v>
      </c>
      <c r="E367" s="179">
        <f t="shared" si="100"/>
        <v>0</v>
      </c>
      <c r="F367" s="179">
        <f t="shared" si="100"/>
        <v>0</v>
      </c>
      <c r="G367" s="179">
        <f t="shared" si="100"/>
        <v>0</v>
      </c>
      <c r="H367" s="179">
        <f t="shared" si="100"/>
        <v>0</v>
      </c>
      <c r="I367" s="179">
        <f t="shared" si="100"/>
        <v>0</v>
      </c>
      <c r="J367" s="179">
        <f t="shared" si="100"/>
        <v>0</v>
      </c>
      <c r="K367" s="179">
        <f t="shared" si="100"/>
        <v>0</v>
      </c>
      <c r="L367" s="179">
        <f t="shared" si="100"/>
        <v>0</v>
      </c>
      <c r="M367" s="179">
        <f t="shared" si="100"/>
        <v>0</v>
      </c>
      <c r="N367" s="179">
        <f t="shared" si="100"/>
        <v>0</v>
      </c>
      <c r="O367" s="179">
        <f t="shared" si="100"/>
        <v>0</v>
      </c>
      <c r="P367" s="179">
        <f t="shared" si="100"/>
        <v>0</v>
      </c>
      <c r="Q367" s="179">
        <f t="shared" si="100"/>
        <v>0</v>
      </c>
      <c r="R367" s="179">
        <f t="shared" si="100"/>
        <v>0</v>
      </c>
      <c r="S367" s="179">
        <f t="shared" si="100"/>
        <v>0</v>
      </c>
      <c r="T367" s="179">
        <f t="shared" si="100"/>
        <v>0</v>
      </c>
      <c r="U367" s="179">
        <f t="shared" si="100"/>
        <v>0</v>
      </c>
      <c r="V367" s="179">
        <f t="shared" si="100"/>
        <v>0</v>
      </c>
      <c r="W367" s="179">
        <f t="shared" si="100"/>
        <v>0</v>
      </c>
      <c r="X367" s="179">
        <f t="shared" si="100"/>
        <v>0</v>
      </c>
      <c r="Y367" s="179">
        <f>Y240-Y304</f>
        <v>0</v>
      </c>
      <c r="Z367" s="179">
        <f t="shared" ref="Z367:AK369" si="101">Z240-Z304</f>
        <v>0</v>
      </c>
      <c r="AA367" s="179">
        <f t="shared" si="101"/>
        <v>0</v>
      </c>
      <c r="AB367" s="179">
        <f t="shared" si="101"/>
        <v>0</v>
      </c>
      <c r="AC367" s="179">
        <f t="shared" si="101"/>
        <v>0</v>
      </c>
      <c r="AD367" s="179">
        <f t="shared" si="101"/>
        <v>0</v>
      </c>
      <c r="AE367" s="179">
        <f t="shared" si="101"/>
        <v>0</v>
      </c>
      <c r="AF367" s="179">
        <f t="shared" si="101"/>
        <v>0</v>
      </c>
      <c r="AG367" s="179">
        <f t="shared" si="101"/>
        <v>0</v>
      </c>
      <c r="AH367" s="179">
        <f t="shared" si="101"/>
        <v>0</v>
      </c>
      <c r="AI367" s="179">
        <f t="shared" si="101"/>
        <v>0</v>
      </c>
      <c r="AJ367" s="179">
        <f t="shared" si="101"/>
        <v>0</v>
      </c>
      <c r="AK367" s="180">
        <f t="shared" si="101"/>
        <v>0</v>
      </c>
      <c r="AL367" s="181"/>
      <c r="AM367" s="18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  <c r="BA367" s="31"/>
      <c r="BB367" s="31"/>
      <c r="BC367" s="31"/>
      <c r="BD367" s="31"/>
      <c r="BE367" s="31"/>
      <c r="BF367" s="31"/>
      <c r="BG367" s="31"/>
      <c r="BH367" s="31"/>
      <c r="BI367" s="31"/>
    </row>
    <row r="368" spans="1:61" x14ac:dyDescent="0.2">
      <c r="A368" s="110" t="s">
        <v>93</v>
      </c>
      <c r="B368" s="179">
        <f t="shared" si="100"/>
        <v>0</v>
      </c>
      <c r="C368" s="179">
        <f t="shared" si="100"/>
        <v>0</v>
      </c>
      <c r="D368" s="179">
        <f t="shared" si="100"/>
        <v>0</v>
      </c>
      <c r="E368" s="179">
        <f t="shared" si="100"/>
        <v>0</v>
      </c>
      <c r="F368" s="179">
        <f t="shared" si="100"/>
        <v>0</v>
      </c>
      <c r="G368" s="179">
        <f t="shared" si="100"/>
        <v>0</v>
      </c>
      <c r="H368" s="179">
        <f t="shared" si="100"/>
        <v>0</v>
      </c>
      <c r="I368" s="179">
        <f t="shared" si="100"/>
        <v>0</v>
      </c>
      <c r="J368" s="179">
        <f t="shared" si="100"/>
        <v>0</v>
      </c>
      <c r="K368" s="179">
        <f t="shared" si="100"/>
        <v>0</v>
      </c>
      <c r="L368" s="179">
        <f t="shared" si="100"/>
        <v>0</v>
      </c>
      <c r="M368" s="179">
        <f t="shared" si="100"/>
        <v>0</v>
      </c>
      <c r="N368" s="179">
        <f t="shared" si="100"/>
        <v>0</v>
      </c>
      <c r="O368" s="179">
        <f t="shared" si="100"/>
        <v>0</v>
      </c>
      <c r="P368" s="179">
        <f t="shared" si="100"/>
        <v>0</v>
      </c>
      <c r="Q368" s="179">
        <f t="shared" si="100"/>
        <v>0</v>
      </c>
      <c r="R368" s="179">
        <f t="shared" si="100"/>
        <v>0</v>
      </c>
      <c r="S368" s="179">
        <f t="shared" si="100"/>
        <v>0</v>
      </c>
      <c r="T368" s="179">
        <f t="shared" si="100"/>
        <v>0</v>
      </c>
      <c r="U368" s="179">
        <f t="shared" si="100"/>
        <v>0</v>
      </c>
      <c r="V368" s="179">
        <f t="shared" si="100"/>
        <v>0</v>
      </c>
      <c r="W368" s="179">
        <f t="shared" si="100"/>
        <v>0</v>
      </c>
      <c r="X368" s="179">
        <f t="shared" si="100"/>
        <v>0</v>
      </c>
      <c r="Y368" s="179">
        <f>Y241-Y305</f>
        <v>0</v>
      </c>
      <c r="Z368" s="179">
        <f t="shared" si="101"/>
        <v>0</v>
      </c>
      <c r="AA368" s="179">
        <f t="shared" si="101"/>
        <v>0</v>
      </c>
      <c r="AB368" s="179">
        <f t="shared" si="101"/>
        <v>0</v>
      </c>
      <c r="AC368" s="179">
        <f t="shared" si="101"/>
        <v>0</v>
      </c>
      <c r="AD368" s="179">
        <f t="shared" si="101"/>
        <v>0</v>
      </c>
      <c r="AE368" s="179">
        <f t="shared" si="101"/>
        <v>0</v>
      </c>
      <c r="AF368" s="179">
        <f t="shared" si="101"/>
        <v>0</v>
      </c>
      <c r="AG368" s="179">
        <f t="shared" si="101"/>
        <v>0</v>
      </c>
      <c r="AH368" s="179">
        <f t="shared" si="101"/>
        <v>0</v>
      </c>
      <c r="AI368" s="179">
        <f t="shared" si="101"/>
        <v>0</v>
      </c>
      <c r="AJ368" s="179">
        <f t="shared" si="101"/>
        <v>0</v>
      </c>
      <c r="AK368" s="180">
        <f t="shared" si="101"/>
        <v>0</v>
      </c>
      <c r="AL368" s="181"/>
      <c r="AM368" s="18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  <c r="BA368" s="31"/>
      <c r="BB368" s="31"/>
      <c r="BC368" s="31"/>
      <c r="BD368" s="31"/>
      <c r="BE368" s="31"/>
      <c r="BF368" s="31"/>
      <c r="BG368" s="31"/>
      <c r="BH368" s="31"/>
      <c r="BI368" s="31"/>
    </row>
    <row r="369" spans="1:61" x14ac:dyDescent="0.2">
      <c r="A369" s="110" t="s">
        <v>1</v>
      </c>
      <c r="B369" s="179">
        <f t="shared" si="100"/>
        <v>0</v>
      </c>
      <c r="C369" s="179">
        <f t="shared" si="100"/>
        <v>0</v>
      </c>
      <c r="D369" s="179">
        <f t="shared" si="100"/>
        <v>0</v>
      </c>
      <c r="E369" s="179">
        <f t="shared" si="100"/>
        <v>0</v>
      </c>
      <c r="F369" s="179">
        <f t="shared" si="100"/>
        <v>0</v>
      </c>
      <c r="G369" s="179">
        <f t="shared" si="100"/>
        <v>0</v>
      </c>
      <c r="H369" s="179">
        <f t="shared" si="100"/>
        <v>0</v>
      </c>
      <c r="I369" s="179">
        <f t="shared" si="100"/>
        <v>0</v>
      </c>
      <c r="J369" s="179">
        <f t="shared" si="100"/>
        <v>0</v>
      </c>
      <c r="K369" s="179">
        <f t="shared" si="100"/>
        <v>0</v>
      </c>
      <c r="L369" s="179">
        <f t="shared" si="100"/>
        <v>0</v>
      </c>
      <c r="M369" s="179">
        <f t="shared" si="100"/>
        <v>0</v>
      </c>
      <c r="N369" s="179">
        <f t="shared" si="100"/>
        <v>0</v>
      </c>
      <c r="O369" s="179">
        <f t="shared" si="100"/>
        <v>0</v>
      </c>
      <c r="P369" s="179">
        <f t="shared" si="100"/>
        <v>0</v>
      </c>
      <c r="Q369" s="179">
        <f t="shared" si="100"/>
        <v>0</v>
      </c>
      <c r="R369" s="179">
        <f t="shared" si="100"/>
        <v>0</v>
      </c>
      <c r="S369" s="179">
        <f t="shared" si="100"/>
        <v>0</v>
      </c>
      <c r="T369" s="179">
        <f t="shared" si="100"/>
        <v>0</v>
      </c>
      <c r="U369" s="179">
        <f t="shared" si="100"/>
        <v>0</v>
      </c>
      <c r="V369" s="179">
        <f t="shared" si="100"/>
        <v>0</v>
      </c>
      <c r="W369" s="179">
        <f t="shared" si="100"/>
        <v>0</v>
      </c>
      <c r="X369" s="179">
        <f t="shared" si="100"/>
        <v>0</v>
      </c>
      <c r="Y369" s="179">
        <f>Y242-Y306</f>
        <v>0</v>
      </c>
      <c r="Z369" s="179">
        <f t="shared" si="101"/>
        <v>0</v>
      </c>
      <c r="AA369" s="179">
        <f t="shared" si="101"/>
        <v>0</v>
      </c>
      <c r="AB369" s="179">
        <f t="shared" si="101"/>
        <v>0</v>
      </c>
      <c r="AC369" s="179">
        <f t="shared" si="101"/>
        <v>0</v>
      </c>
      <c r="AD369" s="179">
        <f t="shared" si="101"/>
        <v>0</v>
      </c>
      <c r="AE369" s="179">
        <f t="shared" si="101"/>
        <v>0</v>
      </c>
      <c r="AF369" s="179">
        <f t="shared" si="101"/>
        <v>0</v>
      </c>
      <c r="AG369" s="179">
        <f t="shared" si="101"/>
        <v>0</v>
      </c>
      <c r="AH369" s="179">
        <f t="shared" si="101"/>
        <v>0</v>
      </c>
      <c r="AI369" s="179">
        <f t="shared" si="101"/>
        <v>0</v>
      </c>
      <c r="AJ369" s="179">
        <f t="shared" si="101"/>
        <v>0</v>
      </c>
      <c r="AK369" s="180">
        <f t="shared" si="101"/>
        <v>0</v>
      </c>
      <c r="AL369" s="181"/>
      <c r="AM369" s="18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  <c r="AZ369" s="31"/>
      <c r="BA369" s="31"/>
      <c r="BB369" s="31"/>
      <c r="BC369" s="31"/>
      <c r="BD369" s="31"/>
      <c r="BE369" s="31"/>
      <c r="BF369" s="31"/>
      <c r="BG369" s="31"/>
      <c r="BH369" s="31"/>
      <c r="BI369" s="31"/>
    </row>
    <row r="370" spans="1:61" x14ac:dyDescent="0.2">
      <c r="A370" s="154" t="s">
        <v>7</v>
      </c>
      <c r="B370" s="182">
        <f t="shared" ref="B370:AK370" si="102">SUM(B367:B369)</f>
        <v>0</v>
      </c>
      <c r="C370" s="182">
        <f t="shared" si="102"/>
        <v>0</v>
      </c>
      <c r="D370" s="182">
        <f t="shared" si="102"/>
        <v>0</v>
      </c>
      <c r="E370" s="182">
        <f t="shared" si="102"/>
        <v>0</v>
      </c>
      <c r="F370" s="182">
        <f t="shared" si="102"/>
        <v>0</v>
      </c>
      <c r="G370" s="182">
        <f t="shared" si="102"/>
        <v>0</v>
      </c>
      <c r="H370" s="182">
        <f t="shared" si="102"/>
        <v>0</v>
      </c>
      <c r="I370" s="182">
        <f>SUM(I367:I369)</f>
        <v>0</v>
      </c>
      <c r="J370" s="182">
        <f>SUM(J367:J369)</f>
        <v>0</v>
      </c>
      <c r="K370" s="182">
        <f>SUM(K367:K369)</f>
        <v>0</v>
      </c>
      <c r="L370" s="182">
        <f t="shared" si="102"/>
        <v>0</v>
      </c>
      <c r="M370" s="182">
        <f t="shared" si="102"/>
        <v>0</v>
      </c>
      <c r="N370" s="182">
        <f t="shared" si="102"/>
        <v>0</v>
      </c>
      <c r="O370" s="182">
        <f t="shared" si="102"/>
        <v>0</v>
      </c>
      <c r="P370" s="182">
        <f t="shared" si="102"/>
        <v>0</v>
      </c>
      <c r="Q370" s="182">
        <f t="shared" si="102"/>
        <v>0</v>
      </c>
      <c r="R370" s="182">
        <f t="shared" si="102"/>
        <v>0</v>
      </c>
      <c r="S370" s="182">
        <f t="shared" si="102"/>
        <v>0</v>
      </c>
      <c r="T370" s="182">
        <f t="shared" si="102"/>
        <v>0</v>
      </c>
      <c r="U370" s="182">
        <f t="shared" si="102"/>
        <v>0</v>
      </c>
      <c r="V370" s="182">
        <f t="shared" si="102"/>
        <v>0</v>
      </c>
      <c r="W370" s="182">
        <f t="shared" si="102"/>
        <v>0</v>
      </c>
      <c r="X370" s="182">
        <f t="shared" si="102"/>
        <v>0</v>
      </c>
      <c r="Y370" s="182">
        <f t="shared" si="102"/>
        <v>0</v>
      </c>
      <c r="Z370" s="182">
        <f t="shared" si="102"/>
        <v>0</v>
      </c>
      <c r="AA370" s="182">
        <f t="shared" si="102"/>
        <v>0</v>
      </c>
      <c r="AB370" s="182">
        <f t="shared" si="102"/>
        <v>0</v>
      </c>
      <c r="AC370" s="182">
        <f t="shared" si="102"/>
        <v>0</v>
      </c>
      <c r="AD370" s="182">
        <f t="shared" si="102"/>
        <v>0</v>
      </c>
      <c r="AE370" s="182">
        <f t="shared" si="102"/>
        <v>0</v>
      </c>
      <c r="AF370" s="182">
        <f t="shared" si="102"/>
        <v>0</v>
      </c>
      <c r="AG370" s="182">
        <f t="shared" si="102"/>
        <v>0</v>
      </c>
      <c r="AH370" s="182">
        <f t="shared" si="102"/>
        <v>0</v>
      </c>
      <c r="AI370" s="182">
        <f t="shared" si="102"/>
        <v>0</v>
      </c>
      <c r="AJ370" s="182">
        <f t="shared" si="102"/>
        <v>0</v>
      </c>
      <c r="AK370" s="184">
        <f t="shared" si="102"/>
        <v>0</v>
      </c>
      <c r="AL370" s="181"/>
      <c r="AM370" s="18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  <c r="AZ370" s="31"/>
      <c r="BA370" s="31"/>
      <c r="BB370" s="31"/>
      <c r="BC370" s="31"/>
      <c r="BD370" s="31"/>
      <c r="BE370" s="31"/>
      <c r="BF370" s="31"/>
      <c r="BG370" s="31"/>
      <c r="BH370" s="31"/>
      <c r="BI370" s="31"/>
    </row>
    <row r="371" spans="1:61" x14ac:dyDescent="0.2">
      <c r="A371" s="120" t="s">
        <v>76</v>
      </c>
      <c r="B371" s="179"/>
      <c r="C371" s="179"/>
      <c r="D371" s="179"/>
      <c r="E371" s="179"/>
      <c r="F371" s="179"/>
      <c r="G371" s="179"/>
      <c r="H371" s="179"/>
      <c r="I371" s="179"/>
      <c r="J371" s="179"/>
      <c r="K371" s="179"/>
      <c r="L371" s="179"/>
      <c r="M371" s="179"/>
      <c r="N371" s="179"/>
      <c r="O371" s="179"/>
      <c r="P371" s="179"/>
      <c r="Q371" s="179"/>
      <c r="R371" s="179"/>
      <c r="S371" s="179"/>
      <c r="T371" s="179"/>
      <c r="U371" s="179"/>
      <c r="V371" s="179"/>
      <c r="W371" s="179"/>
      <c r="X371" s="179"/>
      <c r="Y371" s="179"/>
      <c r="Z371" s="179"/>
      <c r="AA371" s="179"/>
      <c r="AB371" s="179"/>
      <c r="AC371" s="179"/>
      <c r="AD371" s="179"/>
      <c r="AE371" s="179"/>
      <c r="AF371" s="179"/>
      <c r="AG371" s="179"/>
      <c r="AH371" s="179"/>
      <c r="AI371" s="179"/>
      <c r="AJ371" s="179"/>
      <c r="AK371" s="190"/>
      <c r="AL371" s="181"/>
      <c r="AM371" s="18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  <c r="BA371" s="31"/>
      <c r="BB371" s="31"/>
      <c r="BC371" s="31"/>
      <c r="BD371" s="31"/>
      <c r="BE371" s="31"/>
      <c r="BF371" s="31"/>
      <c r="BG371" s="31"/>
      <c r="BH371" s="31"/>
      <c r="BI371" s="31"/>
    </row>
    <row r="372" spans="1:61" x14ac:dyDescent="0.2">
      <c r="A372" s="110" t="s">
        <v>92</v>
      </c>
      <c r="B372" s="179">
        <f>B245-B309</f>
        <v>0</v>
      </c>
      <c r="C372" s="179">
        <f t="shared" ref="C372:AK374" si="103">C245-C309</f>
        <v>0</v>
      </c>
      <c r="D372" s="179">
        <f t="shared" si="103"/>
        <v>0</v>
      </c>
      <c r="E372" s="179">
        <f t="shared" si="103"/>
        <v>0</v>
      </c>
      <c r="F372" s="179">
        <f t="shared" si="103"/>
        <v>0</v>
      </c>
      <c r="G372" s="179">
        <f t="shared" si="103"/>
        <v>0</v>
      </c>
      <c r="H372" s="179">
        <f t="shared" si="103"/>
        <v>0</v>
      </c>
      <c r="I372" s="179">
        <f t="shared" si="103"/>
        <v>0</v>
      </c>
      <c r="J372" s="179">
        <f t="shared" si="103"/>
        <v>0</v>
      </c>
      <c r="K372" s="179">
        <f t="shared" si="103"/>
        <v>0</v>
      </c>
      <c r="L372" s="179">
        <f t="shared" si="103"/>
        <v>0</v>
      </c>
      <c r="M372" s="179">
        <f t="shared" si="103"/>
        <v>0</v>
      </c>
      <c r="N372" s="179">
        <f t="shared" si="103"/>
        <v>0</v>
      </c>
      <c r="O372" s="179">
        <f>O245-O309</f>
        <v>0</v>
      </c>
      <c r="P372" s="179">
        <f t="shared" si="103"/>
        <v>0</v>
      </c>
      <c r="Q372" s="179">
        <f t="shared" si="103"/>
        <v>0</v>
      </c>
      <c r="R372" s="179">
        <f t="shared" si="103"/>
        <v>0</v>
      </c>
      <c r="S372" s="179">
        <f t="shared" si="103"/>
        <v>0</v>
      </c>
      <c r="T372" s="179">
        <f t="shared" si="103"/>
        <v>0</v>
      </c>
      <c r="U372" s="179">
        <f t="shared" si="103"/>
        <v>0</v>
      </c>
      <c r="V372" s="179">
        <f t="shared" si="103"/>
        <v>0</v>
      </c>
      <c r="W372" s="179">
        <f t="shared" si="103"/>
        <v>0</v>
      </c>
      <c r="X372" s="179">
        <f t="shared" si="103"/>
        <v>0</v>
      </c>
      <c r="Y372" s="179">
        <f t="shared" si="103"/>
        <v>0</v>
      </c>
      <c r="Z372" s="179">
        <f t="shared" si="103"/>
        <v>0</v>
      </c>
      <c r="AA372" s="179">
        <f t="shared" si="103"/>
        <v>0</v>
      </c>
      <c r="AB372" s="179">
        <f t="shared" si="103"/>
        <v>0</v>
      </c>
      <c r="AC372" s="179">
        <f t="shared" si="103"/>
        <v>0</v>
      </c>
      <c r="AD372" s="179">
        <f t="shared" si="103"/>
        <v>0</v>
      </c>
      <c r="AE372" s="179">
        <f t="shared" si="103"/>
        <v>0</v>
      </c>
      <c r="AF372" s="179">
        <f t="shared" si="103"/>
        <v>0</v>
      </c>
      <c r="AG372" s="179">
        <f t="shared" si="103"/>
        <v>0</v>
      </c>
      <c r="AH372" s="179">
        <f t="shared" si="103"/>
        <v>0</v>
      </c>
      <c r="AI372" s="179">
        <f t="shared" si="103"/>
        <v>0</v>
      </c>
      <c r="AJ372" s="179">
        <f t="shared" si="103"/>
        <v>0</v>
      </c>
      <c r="AK372" s="180">
        <f t="shared" si="103"/>
        <v>0</v>
      </c>
      <c r="AL372" s="181"/>
      <c r="AM372" s="18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  <c r="AZ372" s="31"/>
      <c r="BA372" s="31"/>
      <c r="BB372" s="31"/>
      <c r="BC372" s="31"/>
      <c r="BD372" s="31"/>
      <c r="BE372" s="31"/>
      <c r="BF372" s="31"/>
      <c r="BG372" s="31"/>
      <c r="BH372" s="31"/>
      <c r="BI372" s="31"/>
    </row>
    <row r="373" spans="1:61" x14ac:dyDescent="0.2">
      <c r="A373" s="110" t="s">
        <v>93</v>
      </c>
      <c r="B373" s="179">
        <f t="shared" ref="B373:H374" si="104">B246-B310</f>
        <v>0</v>
      </c>
      <c r="C373" s="179">
        <f t="shared" si="104"/>
        <v>0</v>
      </c>
      <c r="D373" s="179">
        <f t="shared" si="104"/>
        <v>0</v>
      </c>
      <c r="E373" s="179">
        <f t="shared" si="104"/>
        <v>0</v>
      </c>
      <c r="F373" s="179">
        <f t="shared" si="104"/>
        <v>0</v>
      </c>
      <c r="G373" s="179">
        <f t="shared" si="104"/>
        <v>0</v>
      </c>
      <c r="H373" s="179">
        <f t="shared" si="104"/>
        <v>0</v>
      </c>
      <c r="I373" s="179">
        <f t="shared" si="103"/>
        <v>0</v>
      </c>
      <c r="J373" s="179">
        <f t="shared" si="103"/>
        <v>0</v>
      </c>
      <c r="K373" s="179">
        <f t="shared" si="103"/>
        <v>0</v>
      </c>
      <c r="L373" s="179">
        <f t="shared" si="103"/>
        <v>0</v>
      </c>
      <c r="M373" s="179">
        <f t="shared" si="103"/>
        <v>0</v>
      </c>
      <c r="N373" s="179">
        <f>N246-N310</f>
        <v>0</v>
      </c>
      <c r="O373" s="179">
        <f t="shared" si="103"/>
        <v>0</v>
      </c>
      <c r="P373" s="179">
        <f t="shared" si="103"/>
        <v>0</v>
      </c>
      <c r="Q373" s="179">
        <f t="shared" si="103"/>
        <v>0</v>
      </c>
      <c r="R373" s="179">
        <f t="shared" si="103"/>
        <v>0</v>
      </c>
      <c r="S373" s="179">
        <f t="shared" si="103"/>
        <v>0</v>
      </c>
      <c r="T373" s="179">
        <f t="shared" si="103"/>
        <v>0</v>
      </c>
      <c r="U373" s="179">
        <f t="shared" si="103"/>
        <v>0</v>
      </c>
      <c r="V373" s="179">
        <f t="shared" si="103"/>
        <v>0</v>
      </c>
      <c r="W373" s="179">
        <f t="shared" si="103"/>
        <v>0</v>
      </c>
      <c r="X373" s="179">
        <f t="shared" si="103"/>
        <v>0</v>
      </c>
      <c r="Y373" s="179">
        <f t="shared" si="103"/>
        <v>0</v>
      </c>
      <c r="Z373" s="179">
        <f t="shared" si="103"/>
        <v>0</v>
      </c>
      <c r="AA373" s="179">
        <f t="shared" si="103"/>
        <v>0</v>
      </c>
      <c r="AB373" s="179">
        <f t="shared" si="103"/>
        <v>0</v>
      </c>
      <c r="AC373" s="179">
        <f t="shared" si="103"/>
        <v>0</v>
      </c>
      <c r="AD373" s="179">
        <f t="shared" si="103"/>
        <v>0</v>
      </c>
      <c r="AE373" s="179">
        <f t="shared" si="103"/>
        <v>0</v>
      </c>
      <c r="AF373" s="179">
        <f t="shared" si="103"/>
        <v>0</v>
      </c>
      <c r="AG373" s="179">
        <f t="shared" si="103"/>
        <v>0</v>
      </c>
      <c r="AH373" s="179">
        <f t="shared" si="103"/>
        <v>0</v>
      </c>
      <c r="AI373" s="179">
        <f t="shared" si="103"/>
        <v>0</v>
      </c>
      <c r="AJ373" s="179">
        <f t="shared" si="103"/>
        <v>0</v>
      </c>
      <c r="AK373" s="180">
        <f>AK246-AK310</f>
        <v>0</v>
      </c>
      <c r="AL373" s="181"/>
      <c r="AM373" s="18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  <c r="AZ373" s="31"/>
      <c r="BA373" s="31"/>
      <c r="BB373" s="31"/>
      <c r="BC373" s="31"/>
      <c r="BD373" s="31"/>
      <c r="BE373" s="31"/>
      <c r="BF373" s="31"/>
      <c r="BG373" s="31"/>
      <c r="BH373" s="31"/>
      <c r="BI373" s="31"/>
    </row>
    <row r="374" spans="1:61" x14ac:dyDescent="0.2">
      <c r="A374" s="110" t="s">
        <v>1</v>
      </c>
      <c r="B374" s="179">
        <f t="shared" si="104"/>
        <v>0</v>
      </c>
      <c r="C374" s="179">
        <f t="shared" si="104"/>
        <v>0</v>
      </c>
      <c r="D374" s="179">
        <f t="shared" si="104"/>
        <v>0</v>
      </c>
      <c r="E374" s="179">
        <f t="shared" si="104"/>
        <v>0</v>
      </c>
      <c r="F374" s="179">
        <f t="shared" si="104"/>
        <v>0</v>
      </c>
      <c r="G374" s="179">
        <f t="shared" si="104"/>
        <v>0</v>
      </c>
      <c r="H374" s="179">
        <f t="shared" si="104"/>
        <v>0</v>
      </c>
      <c r="I374" s="179">
        <f t="shared" si="103"/>
        <v>0</v>
      </c>
      <c r="J374" s="179">
        <f t="shared" si="103"/>
        <v>0</v>
      </c>
      <c r="K374" s="179">
        <f t="shared" si="103"/>
        <v>0</v>
      </c>
      <c r="L374" s="179">
        <f t="shared" si="103"/>
        <v>0</v>
      </c>
      <c r="M374" s="179">
        <f t="shared" si="103"/>
        <v>0</v>
      </c>
      <c r="N374" s="179">
        <f t="shared" si="103"/>
        <v>0</v>
      </c>
      <c r="O374" s="179">
        <f t="shared" si="103"/>
        <v>0</v>
      </c>
      <c r="P374" s="179">
        <f t="shared" si="103"/>
        <v>0</v>
      </c>
      <c r="Q374" s="179">
        <f t="shared" si="103"/>
        <v>0</v>
      </c>
      <c r="R374" s="179">
        <f t="shared" si="103"/>
        <v>0</v>
      </c>
      <c r="S374" s="179">
        <f t="shared" si="103"/>
        <v>0</v>
      </c>
      <c r="T374" s="179">
        <f t="shared" si="103"/>
        <v>0</v>
      </c>
      <c r="U374" s="179">
        <f t="shared" si="103"/>
        <v>0</v>
      </c>
      <c r="V374" s="179">
        <f t="shared" si="103"/>
        <v>0</v>
      </c>
      <c r="W374" s="179">
        <f t="shared" si="103"/>
        <v>0</v>
      </c>
      <c r="X374" s="179">
        <f t="shared" si="103"/>
        <v>0</v>
      </c>
      <c r="Y374" s="179">
        <f t="shared" si="103"/>
        <v>0</v>
      </c>
      <c r="Z374" s="179">
        <f t="shared" si="103"/>
        <v>0</v>
      </c>
      <c r="AA374" s="179">
        <f t="shared" si="103"/>
        <v>0</v>
      </c>
      <c r="AB374" s="179">
        <f t="shared" si="103"/>
        <v>0</v>
      </c>
      <c r="AC374" s="179">
        <f t="shared" si="103"/>
        <v>0</v>
      </c>
      <c r="AD374" s="179">
        <f t="shared" si="103"/>
        <v>0</v>
      </c>
      <c r="AE374" s="179">
        <f t="shared" si="103"/>
        <v>0</v>
      </c>
      <c r="AF374" s="179">
        <f t="shared" si="103"/>
        <v>0</v>
      </c>
      <c r="AG374" s="179">
        <f t="shared" si="103"/>
        <v>0</v>
      </c>
      <c r="AH374" s="179">
        <f t="shared" si="103"/>
        <v>0</v>
      </c>
      <c r="AI374" s="179">
        <f t="shared" si="103"/>
        <v>0</v>
      </c>
      <c r="AJ374" s="179">
        <f t="shared" si="103"/>
        <v>0</v>
      </c>
      <c r="AK374" s="180">
        <f>AK247-AK311</f>
        <v>0</v>
      </c>
      <c r="AL374" s="181"/>
      <c r="AM374" s="18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  <c r="AZ374" s="31"/>
      <c r="BA374" s="31"/>
      <c r="BB374" s="31"/>
      <c r="BC374" s="31"/>
      <c r="BD374" s="31"/>
      <c r="BE374" s="31"/>
      <c r="BF374" s="31"/>
      <c r="BG374" s="31"/>
      <c r="BH374" s="31"/>
      <c r="BI374" s="31"/>
    </row>
    <row r="375" spans="1:61" ht="15.75" thickBot="1" x14ac:dyDescent="0.25">
      <c r="A375" s="160" t="s">
        <v>7</v>
      </c>
      <c r="B375" s="191">
        <f>SUM(B372:B374)</f>
        <v>0</v>
      </c>
      <c r="C375" s="191">
        <f t="shared" ref="C375:AK375" si="105">SUM(C372:C374)</f>
        <v>0</v>
      </c>
      <c r="D375" s="191">
        <f t="shared" si="105"/>
        <v>0</v>
      </c>
      <c r="E375" s="191">
        <f t="shared" si="105"/>
        <v>0</v>
      </c>
      <c r="F375" s="191">
        <f t="shared" si="105"/>
        <v>0</v>
      </c>
      <c r="G375" s="191">
        <f t="shared" si="105"/>
        <v>0</v>
      </c>
      <c r="H375" s="191">
        <f t="shared" si="105"/>
        <v>0</v>
      </c>
      <c r="I375" s="191">
        <f>SUM(I372:I374)</f>
        <v>0</v>
      </c>
      <c r="J375" s="191">
        <f>SUM(J372:J374)</f>
        <v>0</v>
      </c>
      <c r="K375" s="191">
        <f>SUM(K372:K374)</f>
        <v>0</v>
      </c>
      <c r="L375" s="191">
        <f t="shared" si="105"/>
        <v>0</v>
      </c>
      <c r="M375" s="191">
        <f t="shared" si="105"/>
        <v>0</v>
      </c>
      <c r="N375" s="191">
        <f t="shared" si="105"/>
        <v>0</v>
      </c>
      <c r="O375" s="191">
        <f t="shared" si="105"/>
        <v>0</v>
      </c>
      <c r="P375" s="191">
        <f t="shared" si="105"/>
        <v>0</v>
      </c>
      <c r="Q375" s="191">
        <f t="shared" si="105"/>
        <v>0</v>
      </c>
      <c r="R375" s="191">
        <f t="shared" si="105"/>
        <v>0</v>
      </c>
      <c r="S375" s="191">
        <f t="shared" si="105"/>
        <v>0</v>
      </c>
      <c r="T375" s="191">
        <f t="shared" si="105"/>
        <v>0</v>
      </c>
      <c r="U375" s="191">
        <f t="shared" si="105"/>
        <v>0</v>
      </c>
      <c r="V375" s="191">
        <f t="shared" si="105"/>
        <v>0</v>
      </c>
      <c r="W375" s="191">
        <f t="shared" si="105"/>
        <v>0</v>
      </c>
      <c r="X375" s="191">
        <f t="shared" si="105"/>
        <v>0</v>
      </c>
      <c r="Y375" s="191">
        <f t="shared" si="105"/>
        <v>0</v>
      </c>
      <c r="Z375" s="191">
        <f t="shared" si="105"/>
        <v>0</v>
      </c>
      <c r="AA375" s="191">
        <f t="shared" si="105"/>
        <v>0</v>
      </c>
      <c r="AB375" s="191">
        <f t="shared" si="105"/>
        <v>0</v>
      </c>
      <c r="AC375" s="191">
        <f t="shared" si="105"/>
        <v>0</v>
      </c>
      <c r="AD375" s="191">
        <f t="shared" si="105"/>
        <v>0</v>
      </c>
      <c r="AE375" s="191">
        <f t="shared" si="105"/>
        <v>0</v>
      </c>
      <c r="AF375" s="191">
        <f t="shared" si="105"/>
        <v>0</v>
      </c>
      <c r="AG375" s="191">
        <f t="shared" si="105"/>
        <v>0</v>
      </c>
      <c r="AH375" s="191">
        <f t="shared" si="105"/>
        <v>0</v>
      </c>
      <c r="AI375" s="191">
        <f t="shared" si="105"/>
        <v>0</v>
      </c>
      <c r="AJ375" s="191">
        <f t="shared" si="105"/>
        <v>0</v>
      </c>
      <c r="AK375" s="192">
        <f t="shared" si="105"/>
        <v>0</v>
      </c>
      <c r="AL375" s="181"/>
      <c r="AM375" s="18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  <c r="AZ375" s="31"/>
      <c r="BA375" s="31"/>
      <c r="BB375" s="31"/>
      <c r="BC375" s="31"/>
      <c r="BD375" s="31"/>
      <c r="BE375" s="31"/>
      <c r="BF375" s="31"/>
      <c r="BG375" s="31"/>
      <c r="BH375" s="31"/>
      <c r="BI375" s="31"/>
    </row>
    <row r="376" spans="1:61" ht="15.75" thickBot="1" x14ac:dyDescent="0.25">
      <c r="A376" s="193" t="s">
        <v>143</v>
      </c>
      <c r="B376" s="194">
        <f t="shared" ref="B376:AJ376" si="106">+B320+B325+B330+B335+B340+B345+B350+B355+B360+B365+B370+B375</f>
        <v>7679</v>
      </c>
      <c r="C376" s="194">
        <f t="shared" si="106"/>
        <v>572</v>
      </c>
      <c r="D376" s="194">
        <f t="shared" si="106"/>
        <v>664</v>
      </c>
      <c r="E376" s="194">
        <f t="shared" si="106"/>
        <v>99</v>
      </c>
      <c r="F376" s="194">
        <f t="shared" si="106"/>
        <v>77</v>
      </c>
      <c r="G376" s="194">
        <f t="shared" si="106"/>
        <v>17</v>
      </c>
      <c r="H376" s="194">
        <f t="shared" si="106"/>
        <v>23</v>
      </c>
      <c r="I376" s="194">
        <f t="shared" si="106"/>
        <v>22</v>
      </c>
      <c r="J376" s="194">
        <f t="shared" si="106"/>
        <v>289</v>
      </c>
      <c r="K376" s="194">
        <f t="shared" si="106"/>
        <v>0</v>
      </c>
      <c r="L376" s="194">
        <f t="shared" si="106"/>
        <v>297</v>
      </c>
      <c r="M376" s="194">
        <f t="shared" si="106"/>
        <v>27</v>
      </c>
      <c r="N376" s="194">
        <f t="shared" si="106"/>
        <v>16</v>
      </c>
      <c r="O376" s="194">
        <f t="shared" si="106"/>
        <v>3</v>
      </c>
      <c r="P376" s="194">
        <f t="shared" si="106"/>
        <v>156</v>
      </c>
      <c r="Q376" s="194">
        <f t="shared" si="106"/>
        <v>4</v>
      </c>
      <c r="R376" s="194">
        <f t="shared" si="106"/>
        <v>1</v>
      </c>
      <c r="S376" s="194">
        <f t="shared" si="106"/>
        <v>3</v>
      </c>
      <c r="T376" s="194">
        <f t="shared" si="106"/>
        <v>69</v>
      </c>
      <c r="U376" s="194">
        <f t="shared" si="106"/>
        <v>67</v>
      </c>
      <c r="V376" s="194">
        <f t="shared" si="106"/>
        <v>78</v>
      </c>
      <c r="W376" s="194">
        <f t="shared" si="106"/>
        <v>88</v>
      </c>
      <c r="X376" s="194">
        <f t="shared" si="106"/>
        <v>129</v>
      </c>
      <c r="Y376" s="194">
        <f t="shared" si="106"/>
        <v>30</v>
      </c>
      <c r="Z376" s="194">
        <f t="shared" si="106"/>
        <v>176</v>
      </c>
      <c r="AA376" s="194">
        <f t="shared" si="106"/>
        <v>69</v>
      </c>
      <c r="AB376" s="194">
        <f t="shared" si="106"/>
        <v>239</v>
      </c>
      <c r="AC376" s="194">
        <f t="shared" si="106"/>
        <v>6</v>
      </c>
      <c r="AD376" s="194">
        <f t="shared" si="106"/>
        <v>105</v>
      </c>
      <c r="AE376" s="194">
        <f t="shared" si="106"/>
        <v>17</v>
      </c>
      <c r="AF376" s="194">
        <f t="shared" si="106"/>
        <v>14</v>
      </c>
      <c r="AG376" s="194">
        <f t="shared" si="106"/>
        <v>838</v>
      </c>
      <c r="AH376" s="194">
        <f t="shared" si="106"/>
        <v>735</v>
      </c>
      <c r="AI376" s="194">
        <f t="shared" si="106"/>
        <v>327</v>
      </c>
      <c r="AJ376" s="194">
        <f t="shared" si="106"/>
        <v>191</v>
      </c>
      <c r="AK376" s="195">
        <f>+AK320+AK325+AK330+AK335+AK340+AK345+AK350+AK355+AK360+AK365+AK370+AK375</f>
        <v>13127</v>
      </c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  <c r="BA376" s="31"/>
      <c r="BB376" s="31"/>
      <c r="BC376" s="31"/>
      <c r="BD376" s="31"/>
      <c r="BE376" s="31"/>
      <c r="BF376" s="31"/>
      <c r="BG376" s="31"/>
      <c r="BH376" s="31"/>
      <c r="BI376" s="31"/>
    </row>
    <row r="377" spans="1:61" x14ac:dyDescent="0.2">
      <c r="B377" s="197"/>
      <c r="C377" s="197"/>
      <c r="D377" s="197"/>
      <c r="E377" s="197"/>
      <c r="F377" s="197"/>
      <c r="G377" s="197"/>
      <c r="H377" s="197"/>
      <c r="I377" s="197"/>
      <c r="J377" s="197"/>
      <c r="K377" s="197"/>
      <c r="L377" s="197"/>
      <c r="M377" s="197"/>
      <c r="N377" s="197"/>
      <c r="O377" s="197"/>
      <c r="P377" s="197"/>
      <c r="Q377" s="197"/>
      <c r="R377" s="197"/>
      <c r="S377" s="197"/>
      <c r="T377" s="197"/>
      <c r="U377" s="197"/>
      <c r="V377" s="197"/>
      <c r="W377" s="197"/>
      <c r="X377" s="197"/>
      <c r="Y377" s="197"/>
      <c r="Z377" s="197"/>
      <c r="AA377" s="197"/>
      <c r="AB377" s="197"/>
      <c r="AC377" s="197"/>
      <c r="AD377" s="197"/>
      <c r="AE377" s="197"/>
      <c r="AF377" s="197"/>
      <c r="AG377" s="197"/>
      <c r="AH377" s="197"/>
      <c r="AI377" s="197"/>
      <c r="AJ377" s="197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  <c r="BA377" s="31"/>
      <c r="BB377" s="31"/>
      <c r="BC377" s="31"/>
      <c r="BD377" s="31"/>
      <c r="BE377" s="31"/>
      <c r="BF377" s="31"/>
      <c r="BG377" s="31"/>
      <c r="BH377" s="31"/>
      <c r="BI377" s="31"/>
    </row>
    <row r="378" spans="1:61" x14ac:dyDescent="0.2">
      <c r="B378" s="197"/>
      <c r="C378" s="197"/>
      <c r="D378" s="197"/>
      <c r="E378" s="197"/>
      <c r="F378" s="197"/>
      <c r="G378" s="197"/>
      <c r="H378" s="197"/>
      <c r="I378" s="197"/>
      <c r="J378" s="197"/>
      <c r="K378" s="197"/>
      <c r="L378" s="197"/>
      <c r="M378" s="197"/>
      <c r="N378" s="197"/>
      <c r="O378" s="197"/>
      <c r="P378" s="197"/>
      <c r="Q378" s="197"/>
      <c r="R378" s="197"/>
      <c r="S378" s="197"/>
      <c r="T378" s="197"/>
      <c r="U378" s="197"/>
      <c r="V378" s="197"/>
      <c r="W378" s="197"/>
      <c r="X378" s="197"/>
      <c r="Y378" s="197"/>
      <c r="Z378" s="197"/>
      <c r="AA378" s="197"/>
      <c r="AB378" s="197"/>
      <c r="AC378" s="197"/>
      <c r="AD378" s="197"/>
      <c r="AE378" s="197"/>
      <c r="AF378" s="197"/>
      <c r="AG378" s="197"/>
      <c r="AH378" s="197"/>
      <c r="AI378" s="197"/>
      <c r="AJ378" s="197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  <c r="BA378" s="31"/>
      <c r="BB378" s="31"/>
      <c r="BC378" s="31"/>
      <c r="BD378" s="31"/>
      <c r="BE378" s="31"/>
      <c r="BF378" s="31"/>
      <c r="BG378" s="31"/>
      <c r="BH378" s="31"/>
      <c r="BI378" s="31"/>
    </row>
    <row r="379" spans="1:61" x14ac:dyDescent="0.2">
      <c r="A379" s="198" t="s">
        <v>244</v>
      </c>
      <c r="B379" s="197"/>
      <c r="C379" s="197"/>
      <c r="D379" s="197"/>
      <c r="F379" s="197"/>
      <c r="G379" s="197"/>
      <c r="H379" s="197"/>
      <c r="I379" s="197"/>
      <c r="J379" s="197"/>
      <c r="K379" s="197"/>
      <c r="L379" s="197"/>
      <c r="M379" s="197"/>
      <c r="N379" s="197"/>
      <c r="O379" s="197"/>
      <c r="P379" s="197"/>
      <c r="Q379" s="197"/>
      <c r="R379" s="197"/>
      <c r="S379" s="197"/>
      <c r="T379" s="197"/>
      <c r="U379" s="197"/>
      <c r="V379" s="197"/>
      <c r="W379" s="197"/>
      <c r="X379" s="197"/>
      <c r="Y379" s="197"/>
      <c r="Z379" s="197"/>
      <c r="AA379" s="197"/>
      <c r="AB379" s="197"/>
      <c r="AC379" s="197"/>
      <c r="AD379" s="197"/>
      <c r="AE379" s="197"/>
      <c r="AF379" s="197"/>
      <c r="AG379" s="197"/>
      <c r="AH379" s="197"/>
      <c r="AI379" s="197"/>
      <c r="AJ379" s="197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  <c r="BA379" s="31"/>
      <c r="BB379" s="31"/>
      <c r="BC379" s="31"/>
      <c r="BD379" s="31"/>
      <c r="BE379" s="31"/>
      <c r="BF379" s="31"/>
      <c r="BG379" s="31"/>
      <c r="BH379" s="31"/>
      <c r="BI379" s="31"/>
    </row>
    <row r="380" spans="1:61" x14ac:dyDescent="0.2">
      <c r="B380" s="197"/>
      <c r="C380" s="197"/>
      <c r="D380" s="197"/>
      <c r="E380" s="197"/>
      <c r="G380" s="197"/>
      <c r="H380" s="197"/>
      <c r="I380" s="197"/>
      <c r="J380" s="197"/>
      <c r="K380" s="197"/>
      <c r="L380" s="197"/>
      <c r="M380" s="197"/>
      <c r="N380" s="197"/>
      <c r="O380" s="197"/>
      <c r="P380" s="197"/>
      <c r="Q380" s="197"/>
      <c r="R380" s="197"/>
      <c r="S380" s="197"/>
      <c r="T380" s="197"/>
      <c r="U380" s="197"/>
      <c r="V380" s="197"/>
      <c r="W380" s="197"/>
      <c r="X380" s="197"/>
      <c r="Y380" s="197"/>
      <c r="Z380" s="197"/>
      <c r="AB380" s="197"/>
      <c r="AC380" s="197"/>
      <c r="AD380" s="197"/>
      <c r="AE380" s="197"/>
      <c r="AF380" s="197"/>
      <c r="AG380" s="197"/>
      <c r="AH380" s="197"/>
      <c r="AI380" s="197"/>
      <c r="AJ380" s="197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  <c r="BA380" s="31"/>
      <c r="BB380" s="31"/>
      <c r="BC380" s="31"/>
      <c r="BD380" s="31"/>
      <c r="BE380" s="31"/>
      <c r="BF380" s="31"/>
      <c r="BG380" s="31"/>
      <c r="BH380" s="31"/>
      <c r="BI380" s="31"/>
    </row>
    <row r="381" spans="1:61" x14ac:dyDescent="0.2">
      <c r="B381" s="197"/>
      <c r="C381" s="197"/>
      <c r="D381" s="197"/>
      <c r="E381" s="197"/>
      <c r="F381" s="197"/>
      <c r="G381" s="197"/>
      <c r="H381" s="197"/>
      <c r="I381" s="197"/>
      <c r="J381" s="197"/>
      <c r="K381" s="197"/>
      <c r="L381" s="197"/>
      <c r="M381" s="197"/>
      <c r="N381" s="197"/>
      <c r="O381" s="197"/>
      <c r="P381" s="197"/>
      <c r="Q381" s="197"/>
      <c r="R381" s="197"/>
      <c r="S381" s="197"/>
      <c r="T381" s="197"/>
      <c r="U381" s="197"/>
      <c r="V381" s="197"/>
      <c r="W381" s="197"/>
      <c r="X381" s="197"/>
      <c r="Y381" s="197"/>
      <c r="Z381" s="197"/>
      <c r="AA381" s="197"/>
      <c r="AB381" s="197"/>
      <c r="AC381" s="197"/>
      <c r="AD381" s="197"/>
      <c r="AE381" s="197"/>
      <c r="AF381" s="197"/>
      <c r="AG381" s="197"/>
      <c r="AH381" s="197"/>
      <c r="AI381" s="197"/>
      <c r="AJ381" s="197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  <c r="BA381" s="31"/>
      <c r="BB381" s="31"/>
      <c r="BC381" s="31"/>
      <c r="BD381" s="31"/>
      <c r="BE381" s="31"/>
      <c r="BF381" s="31"/>
      <c r="BG381" s="31"/>
      <c r="BH381" s="31"/>
      <c r="BI381" s="31"/>
    </row>
    <row r="382" spans="1:61" x14ac:dyDescent="0.2">
      <c r="B382" s="197"/>
      <c r="C382" s="197"/>
      <c r="D382" s="197"/>
      <c r="E382" s="197"/>
      <c r="F382" s="197"/>
      <c r="G382" s="197"/>
      <c r="H382" s="197"/>
      <c r="I382" s="197"/>
      <c r="J382" s="197"/>
      <c r="K382" s="197"/>
      <c r="L382" s="197"/>
      <c r="M382" s="197"/>
      <c r="N382" s="197"/>
      <c r="O382" s="197"/>
      <c r="P382" s="197"/>
      <c r="Q382" s="197"/>
      <c r="R382" s="197"/>
      <c r="S382" s="197"/>
      <c r="T382" s="197"/>
      <c r="U382" s="197"/>
      <c r="V382" s="197"/>
      <c r="W382" s="197"/>
      <c r="X382" s="197"/>
      <c r="Y382" s="197"/>
      <c r="Z382" s="197"/>
      <c r="AA382" s="197"/>
      <c r="AB382" s="197"/>
      <c r="AC382" s="197"/>
      <c r="AD382" s="197"/>
      <c r="AE382" s="197"/>
      <c r="AF382" s="197"/>
      <c r="AG382" s="197"/>
      <c r="AH382" s="197"/>
      <c r="AI382" s="197"/>
      <c r="AJ382" s="197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  <c r="BA382" s="31"/>
      <c r="BB382" s="31"/>
      <c r="BC382" s="31"/>
      <c r="BD382" s="31"/>
      <c r="BE382" s="31"/>
      <c r="BF382" s="31"/>
      <c r="BG382" s="31"/>
      <c r="BH382" s="31"/>
      <c r="BI382" s="31"/>
    </row>
    <row r="383" spans="1:61" x14ac:dyDescent="0.2">
      <c r="B383" s="197"/>
      <c r="C383" s="197"/>
      <c r="D383" s="197"/>
      <c r="E383" s="197"/>
      <c r="G383" s="197"/>
      <c r="H383" s="197"/>
      <c r="I383" s="197"/>
      <c r="J383" s="197"/>
      <c r="K383" s="197"/>
      <c r="L383" s="197"/>
      <c r="M383" s="197"/>
      <c r="N383" s="197"/>
      <c r="O383" s="197"/>
      <c r="P383" s="197"/>
      <c r="Q383" s="197"/>
      <c r="R383" s="197"/>
      <c r="S383" s="197"/>
      <c r="T383" s="197"/>
      <c r="U383" s="197"/>
      <c r="V383" s="197"/>
      <c r="W383" s="197"/>
      <c r="X383" s="197"/>
      <c r="Y383" s="197"/>
      <c r="Z383" s="197"/>
      <c r="AA383" s="197"/>
      <c r="AB383" s="197"/>
      <c r="AC383" s="197"/>
      <c r="AD383" s="197"/>
      <c r="AE383" s="197"/>
      <c r="AF383" s="197"/>
      <c r="AG383" s="197"/>
      <c r="AH383" s="197"/>
      <c r="AI383" s="197"/>
      <c r="AJ383" s="197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  <c r="BA383" s="31"/>
      <c r="BB383" s="31"/>
      <c r="BC383" s="31"/>
      <c r="BD383" s="31"/>
      <c r="BE383" s="31"/>
      <c r="BF383" s="31"/>
      <c r="BG383" s="31"/>
      <c r="BH383" s="31"/>
      <c r="BI383" s="31"/>
    </row>
    <row r="384" spans="1:61" x14ac:dyDescent="0.2">
      <c r="B384" s="197"/>
      <c r="C384" s="197"/>
      <c r="D384" s="197"/>
      <c r="E384" s="197"/>
      <c r="F384" s="197"/>
      <c r="G384" s="197"/>
      <c r="H384" s="197"/>
      <c r="I384" s="197"/>
      <c r="J384" s="197"/>
      <c r="K384" s="197"/>
      <c r="L384" s="197"/>
      <c r="M384" s="197"/>
      <c r="N384" s="197"/>
      <c r="O384" s="197"/>
      <c r="P384" s="197"/>
      <c r="Q384" s="197"/>
      <c r="R384" s="197"/>
      <c r="S384" s="197"/>
      <c r="T384" s="197"/>
      <c r="U384" s="197"/>
      <c r="V384" s="197"/>
      <c r="W384" s="197"/>
      <c r="X384" s="197"/>
      <c r="Y384" s="197"/>
      <c r="Z384" s="197"/>
      <c r="AA384" s="197"/>
      <c r="AB384" s="197"/>
      <c r="AC384" s="197"/>
      <c r="AD384" s="197"/>
      <c r="AE384" s="197"/>
      <c r="AF384" s="197"/>
      <c r="AG384" s="197"/>
      <c r="AH384" s="197"/>
      <c r="AI384" s="197"/>
      <c r="AJ384" s="197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  <c r="BA384" s="31"/>
      <c r="BB384" s="31"/>
      <c r="BC384" s="31"/>
      <c r="BD384" s="31"/>
      <c r="BE384" s="31"/>
      <c r="BF384" s="31"/>
      <c r="BG384" s="31"/>
      <c r="BH384" s="31"/>
      <c r="BI384" s="31"/>
    </row>
    <row r="385" spans="2:61" x14ac:dyDescent="0.2">
      <c r="B385" s="197"/>
      <c r="C385" s="197"/>
      <c r="D385" s="197"/>
      <c r="E385" s="197"/>
      <c r="F385" s="197"/>
      <c r="G385" s="197"/>
      <c r="H385" s="197"/>
      <c r="I385" s="197"/>
      <c r="J385" s="197"/>
      <c r="K385" s="197"/>
      <c r="L385" s="197"/>
      <c r="M385" s="197"/>
      <c r="N385" s="197"/>
      <c r="O385" s="197"/>
      <c r="P385" s="197"/>
      <c r="Q385" s="197"/>
      <c r="R385" s="197"/>
      <c r="S385" s="197"/>
      <c r="T385" s="197"/>
      <c r="U385" s="197"/>
      <c r="V385" s="197"/>
      <c r="W385" s="197"/>
      <c r="X385" s="197"/>
      <c r="Y385" s="197"/>
      <c r="Z385" s="197"/>
      <c r="AA385" s="197"/>
      <c r="AB385" s="197"/>
      <c r="AC385" s="197"/>
      <c r="AD385" s="197"/>
      <c r="AE385" s="197"/>
      <c r="AF385" s="197"/>
      <c r="AG385" s="197"/>
      <c r="AH385" s="197"/>
      <c r="AI385" s="197"/>
      <c r="AJ385" s="197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  <c r="BA385" s="31"/>
      <c r="BB385" s="31"/>
      <c r="BC385" s="31"/>
      <c r="BD385" s="31"/>
      <c r="BE385" s="31"/>
      <c r="BF385" s="31"/>
      <c r="BG385" s="31"/>
      <c r="BH385" s="31"/>
      <c r="BI385" s="31"/>
    </row>
    <row r="386" spans="2:61" x14ac:dyDescent="0.2">
      <c r="B386" s="197"/>
      <c r="C386" s="197"/>
      <c r="D386" s="197"/>
      <c r="E386" s="197"/>
      <c r="F386" s="197"/>
      <c r="G386" s="197"/>
      <c r="H386" s="197"/>
      <c r="I386" s="197"/>
      <c r="J386" s="197"/>
      <c r="K386" s="197"/>
      <c r="L386" s="197"/>
      <c r="M386" s="197"/>
      <c r="N386" s="197"/>
      <c r="O386" s="197"/>
      <c r="P386" s="197"/>
      <c r="Q386" s="197"/>
      <c r="R386" s="197"/>
      <c r="S386" s="197"/>
      <c r="T386" s="197"/>
      <c r="U386" s="197"/>
      <c r="V386" s="197"/>
      <c r="W386" s="197"/>
      <c r="X386" s="197"/>
      <c r="Y386" s="197"/>
      <c r="Z386" s="197"/>
      <c r="AA386" s="197"/>
      <c r="AB386" s="197"/>
      <c r="AC386" s="197"/>
      <c r="AD386" s="197"/>
      <c r="AE386" s="197"/>
      <c r="AF386" s="197"/>
      <c r="AG386" s="197"/>
      <c r="AH386" s="197"/>
      <c r="AI386" s="197"/>
      <c r="AJ386" s="197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</row>
    <row r="387" spans="2:61" x14ac:dyDescent="0.2">
      <c r="B387" s="197"/>
      <c r="C387" s="197"/>
      <c r="D387" s="197"/>
      <c r="E387" s="197"/>
      <c r="F387" s="197"/>
      <c r="G387" s="197"/>
      <c r="H387" s="197"/>
      <c r="I387" s="197"/>
      <c r="J387" s="197"/>
      <c r="K387" s="197"/>
      <c r="L387" s="197"/>
      <c r="M387" s="197"/>
      <c r="N387" s="197"/>
      <c r="O387" s="197"/>
      <c r="P387" s="197"/>
      <c r="Q387" s="197"/>
      <c r="R387" s="197"/>
      <c r="S387" s="197"/>
      <c r="T387" s="197"/>
      <c r="U387" s="197"/>
      <c r="V387" s="197"/>
      <c r="W387" s="197"/>
      <c r="X387" s="197"/>
      <c r="Y387" s="197"/>
      <c r="Z387" s="197"/>
      <c r="AA387" s="197"/>
      <c r="AB387" s="197"/>
      <c r="AC387" s="197"/>
      <c r="AD387" s="197"/>
      <c r="AE387" s="197"/>
      <c r="AF387" s="197"/>
      <c r="AG387" s="197"/>
      <c r="AH387" s="197"/>
      <c r="AI387" s="197"/>
      <c r="AJ387" s="197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  <c r="AZ387" s="31"/>
      <c r="BA387" s="31"/>
      <c r="BB387" s="31"/>
      <c r="BC387" s="31"/>
      <c r="BD387" s="31"/>
      <c r="BE387" s="31"/>
      <c r="BF387" s="31"/>
      <c r="BG387" s="31"/>
      <c r="BH387" s="31"/>
      <c r="BI387" s="31"/>
    </row>
    <row r="388" spans="2:61" x14ac:dyDescent="0.2">
      <c r="B388" s="197"/>
      <c r="C388" s="197"/>
      <c r="D388" s="197"/>
      <c r="E388" s="197"/>
      <c r="F388" s="197"/>
      <c r="G388" s="197"/>
      <c r="H388" s="197"/>
      <c r="I388" s="197"/>
      <c r="J388" s="197"/>
      <c r="K388" s="197"/>
      <c r="L388" s="197"/>
      <c r="M388" s="197"/>
      <c r="N388" s="197"/>
      <c r="O388" s="197"/>
      <c r="P388" s="197"/>
      <c r="Q388" s="197"/>
      <c r="R388" s="197"/>
      <c r="S388" s="197"/>
      <c r="T388" s="197"/>
      <c r="U388" s="197"/>
      <c r="V388" s="197"/>
      <c r="W388" s="197"/>
      <c r="X388" s="197"/>
      <c r="Y388" s="197"/>
      <c r="Z388" s="197"/>
      <c r="AA388" s="197"/>
      <c r="AB388" s="197"/>
      <c r="AC388" s="197"/>
      <c r="AD388" s="197"/>
      <c r="AE388" s="197"/>
      <c r="AF388" s="197"/>
      <c r="AG388" s="197"/>
      <c r="AH388" s="197"/>
      <c r="AI388" s="197"/>
      <c r="AJ388" s="197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  <c r="BA388" s="31"/>
      <c r="BB388" s="31"/>
      <c r="BC388" s="31"/>
      <c r="BD388" s="31"/>
      <c r="BE388" s="31"/>
      <c r="BF388" s="31"/>
      <c r="BG388" s="31"/>
      <c r="BH388" s="31"/>
      <c r="BI388" s="31"/>
    </row>
    <row r="389" spans="2:61" x14ac:dyDescent="0.2">
      <c r="B389" s="197"/>
      <c r="C389" s="197"/>
      <c r="D389" s="197"/>
      <c r="E389" s="197"/>
      <c r="F389" s="197"/>
      <c r="G389" s="197"/>
      <c r="H389" s="197"/>
      <c r="I389" s="197"/>
      <c r="J389" s="197"/>
      <c r="K389" s="197"/>
      <c r="L389" s="197"/>
      <c r="M389" s="197"/>
      <c r="N389" s="197"/>
      <c r="O389" s="197"/>
      <c r="P389" s="197"/>
      <c r="Q389" s="197"/>
      <c r="R389" s="197"/>
      <c r="S389" s="197"/>
      <c r="T389" s="197"/>
      <c r="U389" s="197"/>
      <c r="V389" s="197"/>
      <c r="W389" s="197"/>
      <c r="X389" s="197"/>
      <c r="Y389" s="197"/>
      <c r="Z389" s="197"/>
      <c r="AA389" s="197"/>
      <c r="AB389" s="197"/>
      <c r="AC389" s="197"/>
      <c r="AD389" s="197"/>
      <c r="AE389" s="197"/>
      <c r="AF389" s="197"/>
      <c r="AG389" s="197"/>
      <c r="AH389" s="197"/>
      <c r="AI389" s="197"/>
      <c r="AJ389" s="197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  <c r="BA389" s="31"/>
      <c r="BB389" s="31"/>
      <c r="BC389" s="31"/>
      <c r="BD389" s="31"/>
      <c r="BE389" s="31"/>
      <c r="BF389" s="31"/>
      <c r="BG389" s="31"/>
      <c r="BH389" s="31"/>
      <c r="BI389" s="31"/>
    </row>
    <row r="390" spans="2:61" x14ac:dyDescent="0.2">
      <c r="B390" s="197"/>
      <c r="C390" s="197"/>
      <c r="D390" s="197"/>
      <c r="E390" s="197"/>
      <c r="F390" s="197"/>
      <c r="G390" s="197"/>
      <c r="H390" s="197"/>
      <c r="I390" s="197"/>
      <c r="J390" s="197"/>
      <c r="K390" s="197"/>
      <c r="L390" s="197"/>
      <c r="M390" s="197"/>
      <c r="N390" s="197"/>
      <c r="O390" s="197"/>
      <c r="P390" s="197"/>
      <c r="Q390" s="197"/>
      <c r="R390" s="197"/>
      <c r="S390" s="197"/>
      <c r="T390" s="197"/>
      <c r="U390" s="197"/>
      <c r="V390" s="197"/>
      <c r="W390" s="197"/>
      <c r="X390" s="197"/>
      <c r="Y390" s="197"/>
      <c r="Z390" s="197"/>
      <c r="AA390" s="197"/>
      <c r="AB390" s="197"/>
      <c r="AC390" s="197"/>
      <c r="AD390" s="197"/>
      <c r="AE390" s="197"/>
      <c r="AF390" s="197"/>
      <c r="AG390" s="197"/>
      <c r="AH390" s="197"/>
      <c r="AI390" s="197"/>
      <c r="AJ390" s="197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  <c r="BA390" s="31"/>
      <c r="BB390" s="31"/>
      <c r="BC390" s="31"/>
      <c r="BD390" s="31"/>
      <c r="BE390" s="31"/>
      <c r="BF390" s="31"/>
      <c r="BG390" s="31"/>
      <c r="BH390" s="31"/>
      <c r="BI390" s="31"/>
    </row>
    <row r="391" spans="2:61" x14ac:dyDescent="0.2">
      <c r="B391" s="197"/>
      <c r="C391" s="197"/>
      <c r="D391" s="197"/>
      <c r="E391" s="197"/>
      <c r="F391" s="197"/>
      <c r="G391" s="197"/>
      <c r="H391" s="197"/>
      <c r="I391" s="197"/>
      <c r="J391" s="197"/>
      <c r="K391" s="197"/>
      <c r="L391" s="197"/>
      <c r="M391" s="197"/>
      <c r="N391" s="197"/>
      <c r="O391" s="197"/>
      <c r="P391" s="197"/>
      <c r="Q391" s="197"/>
      <c r="R391" s="197"/>
      <c r="S391" s="197"/>
      <c r="T391" s="197"/>
      <c r="U391" s="197"/>
      <c r="V391" s="197"/>
      <c r="W391" s="197"/>
      <c r="X391" s="197"/>
      <c r="Y391" s="197"/>
      <c r="Z391" s="197"/>
      <c r="AA391" s="197"/>
      <c r="AB391" s="197"/>
      <c r="AC391" s="197"/>
      <c r="AD391" s="197"/>
      <c r="AE391" s="197"/>
      <c r="AF391" s="197"/>
      <c r="AG391" s="197"/>
      <c r="AH391" s="197"/>
      <c r="AI391" s="197"/>
      <c r="AJ391" s="197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  <c r="BA391" s="31"/>
      <c r="BB391" s="31"/>
      <c r="BC391" s="31"/>
      <c r="BD391" s="31"/>
      <c r="BE391" s="31"/>
      <c r="BF391" s="31"/>
      <c r="BG391" s="31"/>
      <c r="BH391" s="31"/>
      <c r="BI391" s="31"/>
    </row>
    <row r="392" spans="2:61" x14ac:dyDescent="0.2">
      <c r="B392" s="197"/>
      <c r="C392" s="197"/>
      <c r="D392" s="197"/>
      <c r="E392" s="197"/>
      <c r="F392" s="197"/>
      <c r="G392" s="197"/>
      <c r="H392" s="197"/>
      <c r="I392" s="197"/>
      <c r="J392" s="197"/>
      <c r="K392" s="197"/>
      <c r="L392" s="197"/>
      <c r="M392" s="197"/>
      <c r="N392" s="197"/>
      <c r="O392" s="197"/>
      <c r="P392" s="197"/>
      <c r="Q392" s="197"/>
      <c r="R392" s="197"/>
      <c r="S392" s="197"/>
      <c r="T392" s="197"/>
      <c r="U392" s="197"/>
      <c r="V392" s="197"/>
      <c r="W392" s="197"/>
      <c r="X392" s="197"/>
      <c r="Y392" s="197"/>
      <c r="Z392" s="197"/>
      <c r="AA392" s="197"/>
      <c r="AB392" s="197"/>
      <c r="AC392" s="197"/>
      <c r="AD392" s="197"/>
      <c r="AE392" s="197"/>
      <c r="AF392" s="197"/>
      <c r="AG392" s="197"/>
      <c r="AH392" s="197"/>
      <c r="AI392" s="197"/>
      <c r="AJ392" s="197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  <c r="BA392" s="31"/>
      <c r="BB392" s="31"/>
      <c r="BC392" s="31"/>
      <c r="BD392" s="31"/>
      <c r="BE392" s="31"/>
      <c r="BF392" s="31"/>
      <c r="BG392" s="31"/>
      <c r="BH392" s="31"/>
      <c r="BI392" s="31"/>
    </row>
    <row r="393" spans="2:61" x14ac:dyDescent="0.2">
      <c r="B393" s="197"/>
      <c r="C393" s="197"/>
      <c r="D393" s="197"/>
      <c r="E393" s="197"/>
      <c r="F393" s="197"/>
      <c r="G393" s="197"/>
      <c r="H393" s="197"/>
      <c r="I393" s="197"/>
      <c r="J393" s="197"/>
      <c r="K393" s="197"/>
      <c r="L393" s="197"/>
      <c r="M393" s="197"/>
      <c r="N393" s="197"/>
      <c r="O393" s="197"/>
      <c r="P393" s="197"/>
      <c r="Q393" s="197"/>
      <c r="R393" s="197"/>
      <c r="S393" s="197"/>
      <c r="T393" s="197"/>
      <c r="U393" s="197"/>
      <c r="V393" s="197"/>
      <c r="W393" s="197"/>
      <c r="X393" s="197"/>
      <c r="Y393" s="197"/>
      <c r="Z393" s="197"/>
      <c r="AA393" s="197"/>
      <c r="AB393" s="197"/>
      <c r="AC393" s="197"/>
      <c r="AD393" s="197"/>
      <c r="AE393" s="197"/>
      <c r="AF393" s="197"/>
      <c r="AG393" s="197"/>
      <c r="AH393" s="197"/>
      <c r="AI393" s="197"/>
      <c r="AJ393" s="197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  <c r="BA393" s="31"/>
      <c r="BB393" s="31"/>
      <c r="BC393" s="31"/>
      <c r="BD393" s="31"/>
      <c r="BE393" s="31"/>
      <c r="BF393" s="31"/>
      <c r="BG393" s="31"/>
      <c r="BH393" s="31"/>
      <c r="BI393" s="31"/>
    </row>
    <row r="394" spans="2:61" x14ac:dyDescent="0.2">
      <c r="B394" s="197"/>
      <c r="C394" s="197"/>
      <c r="D394" s="197"/>
      <c r="E394" s="197"/>
      <c r="F394" s="197"/>
      <c r="G394" s="197"/>
      <c r="H394" s="197"/>
      <c r="I394" s="197"/>
      <c r="J394" s="197"/>
      <c r="K394" s="197"/>
      <c r="L394" s="197"/>
      <c r="M394" s="197"/>
      <c r="N394" s="197"/>
      <c r="O394" s="197"/>
      <c r="P394" s="197"/>
      <c r="Q394" s="197"/>
      <c r="R394" s="197"/>
      <c r="S394" s="197"/>
      <c r="T394" s="197"/>
      <c r="U394" s="197"/>
      <c r="V394" s="197"/>
      <c r="W394" s="197"/>
      <c r="X394" s="197"/>
      <c r="Y394" s="197"/>
      <c r="Z394" s="197"/>
      <c r="AA394" s="197"/>
      <c r="AB394" s="197"/>
      <c r="AC394" s="197"/>
      <c r="AD394" s="197"/>
      <c r="AE394" s="197"/>
      <c r="AF394" s="197"/>
      <c r="AG394" s="197"/>
      <c r="AH394" s="197"/>
      <c r="AI394" s="197"/>
      <c r="AJ394" s="197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  <c r="BA394" s="31"/>
      <c r="BB394" s="31"/>
      <c r="BC394" s="31"/>
      <c r="BD394" s="31"/>
      <c r="BE394" s="31"/>
      <c r="BF394" s="31"/>
      <c r="BG394" s="31"/>
      <c r="BH394" s="31"/>
      <c r="BI394" s="31"/>
    </row>
    <row r="395" spans="2:61" x14ac:dyDescent="0.2">
      <c r="B395" s="197"/>
      <c r="C395" s="197"/>
      <c r="D395" s="197"/>
      <c r="E395" s="197"/>
      <c r="F395" s="197"/>
      <c r="G395" s="197"/>
      <c r="H395" s="197"/>
      <c r="I395" s="197"/>
      <c r="J395" s="197"/>
      <c r="K395" s="197"/>
      <c r="L395" s="197"/>
      <c r="M395" s="197"/>
      <c r="N395" s="197"/>
      <c r="O395" s="197"/>
      <c r="P395" s="197"/>
      <c r="Q395" s="197"/>
      <c r="R395" s="197"/>
      <c r="S395" s="197"/>
      <c r="T395" s="197"/>
      <c r="U395" s="197"/>
      <c r="V395" s="197"/>
      <c r="W395" s="197"/>
      <c r="X395" s="197"/>
      <c r="Y395" s="197"/>
      <c r="Z395" s="197"/>
      <c r="AA395" s="197"/>
      <c r="AB395" s="197"/>
      <c r="AC395" s="197"/>
      <c r="AD395" s="197"/>
      <c r="AE395" s="197"/>
      <c r="AF395" s="197"/>
      <c r="AG395" s="197"/>
      <c r="AH395" s="197"/>
      <c r="AI395" s="197"/>
      <c r="AJ395" s="197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  <c r="BA395" s="31"/>
      <c r="BB395" s="31"/>
      <c r="BC395" s="31"/>
      <c r="BD395" s="31"/>
      <c r="BE395" s="31"/>
      <c r="BF395" s="31"/>
      <c r="BG395" s="31"/>
      <c r="BH395" s="31"/>
      <c r="BI395" s="31"/>
    </row>
    <row r="396" spans="2:61" x14ac:dyDescent="0.2">
      <c r="B396" s="197"/>
      <c r="C396" s="197"/>
      <c r="D396" s="197"/>
      <c r="E396" s="197"/>
      <c r="F396" s="197"/>
      <c r="G396" s="197"/>
      <c r="H396" s="197"/>
      <c r="I396" s="197"/>
      <c r="J396" s="197"/>
      <c r="K396" s="197"/>
      <c r="L396" s="197"/>
      <c r="M396" s="197"/>
      <c r="N396" s="197"/>
      <c r="O396" s="197"/>
      <c r="P396" s="197"/>
      <c r="Q396" s="197"/>
      <c r="R396" s="197"/>
      <c r="S396" s="197"/>
      <c r="T396" s="197"/>
      <c r="U396" s="197"/>
      <c r="V396" s="197"/>
      <c r="W396" s="197"/>
      <c r="X396" s="197"/>
      <c r="Y396" s="197"/>
      <c r="Z396" s="197"/>
      <c r="AA396" s="197"/>
      <c r="AB396" s="197"/>
      <c r="AC396" s="197"/>
      <c r="AD396" s="197"/>
      <c r="AE396" s="197"/>
      <c r="AF396" s="197"/>
      <c r="AG396" s="197"/>
      <c r="AH396" s="197"/>
      <c r="AI396" s="197"/>
      <c r="AJ396" s="197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  <c r="BA396" s="31"/>
      <c r="BB396" s="31"/>
      <c r="BC396" s="31"/>
      <c r="BD396" s="31"/>
      <c r="BE396" s="31"/>
      <c r="BF396" s="31"/>
      <c r="BG396" s="31"/>
      <c r="BH396" s="31"/>
      <c r="BI396" s="31"/>
    </row>
    <row r="397" spans="2:61" x14ac:dyDescent="0.2">
      <c r="B397" s="197"/>
      <c r="C397" s="197"/>
      <c r="D397" s="197"/>
      <c r="E397" s="197"/>
      <c r="F397" s="197"/>
      <c r="G397" s="197"/>
      <c r="H397" s="197"/>
      <c r="I397" s="197"/>
      <c r="J397" s="197"/>
      <c r="K397" s="197"/>
      <c r="L397" s="197"/>
      <c r="M397" s="197"/>
      <c r="N397" s="197"/>
      <c r="O397" s="197"/>
      <c r="P397" s="197"/>
      <c r="Q397" s="197"/>
      <c r="R397" s="197"/>
      <c r="S397" s="197"/>
      <c r="T397" s="197"/>
      <c r="U397" s="197"/>
      <c r="V397" s="197"/>
      <c r="W397" s="197"/>
      <c r="X397" s="197"/>
      <c r="Y397" s="197"/>
      <c r="Z397" s="197"/>
      <c r="AA397" s="197"/>
      <c r="AB397" s="197"/>
      <c r="AC397" s="197"/>
      <c r="AD397" s="197"/>
      <c r="AE397" s="197"/>
      <c r="AF397" s="197"/>
      <c r="AG397" s="197"/>
      <c r="AH397" s="197"/>
      <c r="AI397" s="197"/>
      <c r="AJ397" s="197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  <c r="BA397" s="31"/>
      <c r="BB397" s="31"/>
      <c r="BC397" s="31"/>
      <c r="BD397" s="31"/>
      <c r="BE397" s="31"/>
      <c r="BF397" s="31"/>
      <c r="BG397" s="31"/>
      <c r="BH397" s="31"/>
      <c r="BI397" s="31"/>
    </row>
    <row r="398" spans="2:61" x14ac:dyDescent="0.2">
      <c r="B398" s="197"/>
      <c r="C398" s="197"/>
      <c r="D398" s="197"/>
      <c r="E398" s="197"/>
      <c r="F398" s="197"/>
      <c r="G398" s="197"/>
      <c r="H398" s="197"/>
      <c r="I398" s="197"/>
      <c r="J398" s="197"/>
      <c r="K398" s="197"/>
      <c r="L398" s="197"/>
      <c r="M398" s="197"/>
      <c r="N398" s="197"/>
      <c r="O398" s="197"/>
      <c r="P398" s="197"/>
      <c r="Q398" s="197"/>
      <c r="R398" s="197"/>
      <c r="S398" s="197"/>
      <c r="T398" s="197"/>
      <c r="U398" s="197"/>
      <c r="V398" s="197"/>
      <c r="W398" s="197"/>
      <c r="X398" s="197"/>
      <c r="Y398" s="197"/>
      <c r="Z398" s="197"/>
      <c r="AA398" s="197"/>
      <c r="AB398" s="197"/>
      <c r="AC398" s="197"/>
      <c r="AD398" s="197"/>
      <c r="AE398" s="197"/>
      <c r="AF398" s="197"/>
      <c r="AG398" s="197"/>
      <c r="AH398" s="197"/>
      <c r="AI398" s="197"/>
      <c r="AJ398" s="197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  <c r="BA398" s="31"/>
      <c r="BB398" s="31"/>
      <c r="BC398" s="31"/>
      <c r="BD398" s="31"/>
      <c r="BE398" s="31"/>
      <c r="BF398" s="31"/>
      <c r="BG398" s="31"/>
      <c r="BH398" s="31"/>
      <c r="BI398" s="31"/>
    </row>
    <row r="399" spans="2:61" x14ac:dyDescent="0.2">
      <c r="B399" s="197"/>
      <c r="C399" s="197"/>
      <c r="D399" s="197"/>
      <c r="E399" s="197"/>
      <c r="F399" s="197"/>
      <c r="G399" s="197"/>
      <c r="H399" s="197"/>
      <c r="I399" s="197"/>
      <c r="J399" s="197"/>
      <c r="K399" s="197"/>
      <c r="L399" s="197"/>
      <c r="M399" s="197"/>
      <c r="N399" s="197"/>
      <c r="O399" s="197"/>
      <c r="P399" s="197"/>
      <c r="Q399" s="197"/>
      <c r="R399" s="197"/>
      <c r="S399" s="197"/>
      <c r="T399" s="197"/>
      <c r="U399" s="197"/>
      <c r="V399" s="197"/>
      <c r="W399" s="197"/>
      <c r="X399" s="197"/>
      <c r="Y399" s="197"/>
      <c r="Z399" s="197"/>
      <c r="AA399" s="197"/>
      <c r="AB399" s="197"/>
      <c r="AC399" s="197"/>
      <c r="AD399" s="197"/>
      <c r="AE399" s="197"/>
      <c r="AF399" s="197"/>
      <c r="AG399" s="197"/>
      <c r="AH399" s="197"/>
      <c r="AI399" s="197"/>
      <c r="AJ399" s="197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  <c r="BA399" s="31"/>
      <c r="BB399" s="31"/>
      <c r="BC399" s="31"/>
      <c r="BD399" s="31"/>
      <c r="BE399" s="31"/>
      <c r="BF399" s="31"/>
      <c r="BG399" s="31"/>
      <c r="BH399" s="31"/>
      <c r="BI399" s="31"/>
    </row>
    <row r="400" spans="2:61" x14ac:dyDescent="0.2">
      <c r="B400" s="197"/>
      <c r="C400" s="197"/>
      <c r="D400" s="197"/>
      <c r="E400" s="197"/>
      <c r="F400" s="197"/>
      <c r="G400" s="197"/>
      <c r="H400" s="197"/>
      <c r="I400" s="197"/>
      <c r="J400" s="197"/>
      <c r="K400" s="197"/>
      <c r="L400" s="197"/>
      <c r="M400" s="197"/>
      <c r="N400" s="197"/>
      <c r="O400" s="197"/>
      <c r="P400" s="197"/>
      <c r="Q400" s="197"/>
      <c r="R400" s="197"/>
      <c r="S400" s="197"/>
      <c r="T400" s="197"/>
      <c r="U400" s="197"/>
      <c r="V400" s="197"/>
      <c r="W400" s="197"/>
      <c r="X400" s="197"/>
      <c r="Y400" s="197"/>
      <c r="Z400" s="197"/>
      <c r="AA400" s="197"/>
      <c r="AB400" s="197"/>
      <c r="AC400" s="197"/>
      <c r="AD400" s="197"/>
      <c r="AE400" s="197"/>
      <c r="AF400" s="197"/>
      <c r="AG400" s="197"/>
      <c r="AH400" s="197"/>
      <c r="AI400" s="197"/>
      <c r="AJ400" s="197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  <c r="BA400" s="31"/>
      <c r="BB400" s="31"/>
      <c r="BC400" s="31"/>
      <c r="BD400" s="31"/>
      <c r="BE400" s="31"/>
      <c r="BF400" s="31"/>
      <c r="BG400" s="31"/>
      <c r="BH400" s="31"/>
      <c r="BI400" s="31"/>
    </row>
    <row r="401" spans="2:61" x14ac:dyDescent="0.2">
      <c r="B401" s="197"/>
      <c r="C401" s="197"/>
      <c r="D401" s="197"/>
      <c r="E401" s="197"/>
      <c r="F401" s="197"/>
      <c r="G401" s="197"/>
      <c r="H401" s="197"/>
      <c r="I401" s="197"/>
      <c r="J401" s="197"/>
      <c r="K401" s="197"/>
      <c r="L401" s="197"/>
      <c r="M401" s="197"/>
      <c r="N401" s="197"/>
      <c r="O401" s="197"/>
      <c r="P401" s="197"/>
      <c r="Q401" s="197"/>
      <c r="R401" s="197"/>
      <c r="S401" s="197"/>
      <c r="T401" s="197"/>
      <c r="U401" s="197"/>
      <c r="V401" s="197"/>
      <c r="W401" s="197"/>
      <c r="X401" s="197"/>
      <c r="Y401" s="197"/>
      <c r="Z401" s="197"/>
      <c r="AA401" s="197"/>
      <c r="AB401" s="197"/>
      <c r="AC401" s="197"/>
      <c r="AD401" s="197"/>
      <c r="AE401" s="197"/>
      <c r="AF401" s="197"/>
      <c r="AG401" s="197"/>
      <c r="AH401" s="197"/>
      <c r="AI401" s="197"/>
      <c r="AJ401" s="197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  <c r="BA401" s="31"/>
      <c r="BB401" s="31"/>
      <c r="BC401" s="31"/>
      <c r="BD401" s="31"/>
      <c r="BE401" s="31"/>
      <c r="BF401" s="31"/>
      <c r="BG401" s="31"/>
      <c r="BH401" s="31"/>
      <c r="BI401" s="31"/>
    </row>
    <row r="402" spans="2:61" x14ac:dyDescent="0.2">
      <c r="B402" s="197"/>
      <c r="C402" s="197"/>
      <c r="D402" s="197"/>
      <c r="E402" s="197"/>
      <c r="F402" s="197"/>
      <c r="G402" s="197"/>
      <c r="H402" s="197"/>
      <c r="I402" s="197"/>
      <c r="J402" s="197"/>
      <c r="K402" s="197"/>
      <c r="L402" s="197"/>
      <c r="M402" s="197"/>
      <c r="N402" s="197"/>
      <c r="O402" s="197"/>
      <c r="P402" s="197"/>
      <c r="Q402" s="197"/>
      <c r="R402" s="197"/>
      <c r="S402" s="197"/>
      <c r="T402" s="197"/>
      <c r="U402" s="197"/>
      <c r="V402" s="197"/>
      <c r="W402" s="197"/>
      <c r="X402" s="197"/>
      <c r="Y402" s="197"/>
      <c r="Z402" s="197"/>
      <c r="AA402" s="197"/>
      <c r="AB402" s="197"/>
      <c r="AC402" s="197"/>
      <c r="AD402" s="197"/>
      <c r="AE402" s="197"/>
      <c r="AF402" s="197"/>
      <c r="AG402" s="197"/>
      <c r="AH402" s="197"/>
      <c r="AI402" s="197"/>
      <c r="AJ402" s="197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  <c r="BA402" s="31"/>
      <c r="BB402" s="31"/>
      <c r="BC402" s="31"/>
      <c r="BD402" s="31"/>
      <c r="BE402" s="31"/>
      <c r="BF402" s="31"/>
      <c r="BG402" s="31"/>
      <c r="BH402" s="31"/>
      <c r="BI402" s="31"/>
    </row>
    <row r="403" spans="2:61" x14ac:dyDescent="0.2">
      <c r="B403" s="197"/>
      <c r="C403" s="197"/>
      <c r="D403" s="197"/>
      <c r="E403" s="197"/>
      <c r="F403" s="197"/>
      <c r="G403" s="197"/>
      <c r="H403" s="197"/>
      <c r="I403" s="197"/>
      <c r="J403" s="197"/>
      <c r="K403" s="197"/>
      <c r="L403" s="197"/>
      <c r="M403" s="197"/>
      <c r="N403" s="197"/>
      <c r="O403" s="197"/>
      <c r="P403" s="197"/>
      <c r="Q403" s="197"/>
      <c r="R403" s="197"/>
      <c r="S403" s="197"/>
      <c r="T403" s="197"/>
      <c r="U403" s="197"/>
      <c r="V403" s="197"/>
      <c r="W403" s="197"/>
      <c r="X403" s="197"/>
      <c r="Y403" s="197"/>
      <c r="Z403" s="197"/>
      <c r="AA403" s="197"/>
      <c r="AB403" s="197"/>
      <c r="AC403" s="197"/>
      <c r="AD403" s="197"/>
      <c r="AE403" s="197"/>
      <c r="AF403" s="197"/>
      <c r="AG403" s="197"/>
      <c r="AH403" s="197"/>
      <c r="AI403" s="197"/>
      <c r="AJ403" s="197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/>
      <c r="AX403" s="31"/>
      <c r="AY403" s="31"/>
      <c r="AZ403" s="31"/>
      <c r="BA403" s="31"/>
      <c r="BB403" s="31"/>
      <c r="BC403" s="31"/>
      <c r="BD403" s="31"/>
      <c r="BE403" s="31"/>
      <c r="BF403" s="31"/>
      <c r="BG403" s="31"/>
      <c r="BH403" s="31"/>
      <c r="BI403" s="31"/>
    </row>
    <row r="404" spans="2:61" x14ac:dyDescent="0.2">
      <c r="B404" s="197"/>
      <c r="C404" s="197"/>
      <c r="D404" s="197"/>
      <c r="E404" s="197"/>
      <c r="F404" s="197"/>
      <c r="G404" s="197"/>
      <c r="H404" s="197"/>
      <c r="I404" s="197"/>
      <c r="J404" s="197"/>
      <c r="K404" s="197"/>
      <c r="L404" s="197"/>
      <c r="M404" s="197"/>
      <c r="N404" s="197"/>
      <c r="O404" s="197"/>
      <c r="P404" s="197"/>
      <c r="Q404" s="197"/>
      <c r="R404" s="197"/>
      <c r="S404" s="197"/>
      <c r="T404" s="197"/>
      <c r="U404" s="197"/>
      <c r="V404" s="197"/>
      <c r="W404" s="197"/>
      <c r="X404" s="197"/>
      <c r="Y404" s="197"/>
      <c r="Z404" s="197"/>
      <c r="AA404" s="197"/>
      <c r="AB404" s="197"/>
      <c r="AC404" s="197"/>
      <c r="AD404" s="197"/>
      <c r="AE404" s="197"/>
      <c r="AF404" s="197"/>
      <c r="AG404" s="197"/>
      <c r="AH404" s="197"/>
      <c r="AI404" s="197"/>
      <c r="AJ404" s="197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  <c r="AZ404" s="31"/>
      <c r="BA404" s="31"/>
      <c r="BB404" s="31"/>
      <c r="BC404" s="31"/>
      <c r="BD404" s="31"/>
      <c r="BE404" s="31"/>
      <c r="BF404" s="31"/>
      <c r="BG404" s="31"/>
      <c r="BH404" s="31"/>
      <c r="BI404" s="31"/>
    </row>
    <row r="405" spans="2:61" x14ac:dyDescent="0.2">
      <c r="B405" s="197"/>
      <c r="C405" s="197"/>
      <c r="D405" s="197"/>
      <c r="E405" s="197"/>
      <c r="F405" s="197"/>
      <c r="G405" s="197"/>
      <c r="H405" s="197"/>
      <c r="I405" s="197"/>
      <c r="J405" s="197"/>
      <c r="K405" s="197"/>
      <c r="L405" s="197"/>
      <c r="M405" s="197"/>
      <c r="N405" s="197"/>
      <c r="O405" s="197"/>
      <c r="P405" s="197"/>
      <c r="Q405" s="197"/>
      <c r="R405" s="197"/>
      <c r="S405" s="197"/>
      <c r="T405" s="197"/>
      <c r="U405" s="197"/>
      <c r="V405" s="197"/>
      <c r="W405" s="197"/>
      <c r="X405" s="197"/>
      <c r="Y405" s="197"/>
      <c r="Z405" s="197"/>
      <c r="AA405" s="197"/>
      <c r="AB405" s="197"/>
      <c r="AC405" s="197"/>
      <c r="AD405" s="197"/>
      <c r="AE405" s="197"/>
      <c r="AF405" s="197"/>
      <c r="AG405" s="197"/>
      <c r="AH405" s="197"/>
      <c r="AI405" s="197"/>
      <c r="AJ405" s="197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/>
      <c r="AX405" s="31"/>
      <c r="AY405" s="31"/>
      <c r="AZ405" s="31"/>
      <c r="BA405" s="31"/>
      <c r="BB405" s="31"/>
      <c r="BC405" s="31"/>
      <c r="BD405" s="31"/>
      <c r="BE405" s="31"/>
      <c r="BF405" s="31"/>
      <c r="BG405" s="31"/>
      <c r="BH405" s="31"/>
      <c r="BI405" s="31"/>
    </row>
    <row r="406" spans="2:61" x14ac:dyDescent="0.2">
      <c r="B406" s="197"/>
      <c r="C406" s="197"/>
      <c r="D406" s="197"/>
      <c r="E406" s="197"/>
      <c r="F406" s="197"/>
      <c r="G406" s="197"/>
      <c r="H406" s="197"/>
      <c r="I406" s="197"/>
      <c r="J406" s="197"/>
      <c r="K406" s="197"/>
      <c r="L406" s="197"/>
      <c r="M406" s="197"/>
      <c r="N406" s="197"/>
      <c r="O406" s="197"/>
      <c r="P406" s="197"/>
      <c r="Q406" s="197"/>
      <c r="R406" s="197"/>
      <c r="S406" s="197"/>
      <c r="T406" s="197"/>
      <c r="U406" s="197"/>
      <c r="V406" s="197"/>
      <c r="W406" s="197"/>
      <c r="X406" s="197"/>
      <c r="Y406" s="197"/>
      <c r="Z406" s="197"/>
      <c r="AA406" s="197"/>
      <c r="AB406" s="197"/>
      <c r="AC406" s="197"/>
      <c r="AD406" s="197"/>
      <c r="AE406" s="197"/>
      <c r="AF406" s="197"/>
      <c r="AG406" s="197"/>
      <c r="AH406" s="197"/>
      <c r="AI406" s="197"/>
      <c r="AJ406" s="197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/>
      <c r="AX406" s="31"/>
      <c r="AY406" s="31"/>
      <c r="AZ406" s="31"/>
      <c r="BA406" s="31"/>
      <c r="BB406" s="31"/>
      <c r="BC406" s="31"/>
      <c r="BD406" s="31"/>
      <c r="BE406" s="31"/>
      <c r="BF406" s="31"/>
      <c r="BG406" s="31"/>
      <c r="BH406" s="31"/>
      <c r="BI406" s="31"/>
    </row>
    <row r="407" spans="2:61" x14ac:dyDescent="0.2">
      <c r="B407" s="197"/>
      <c r="C407" s="197"/>
      <c r="D407" s="197"/>
      <c r="E407" s="197"/>
      <c r="F407" s="197"/>
      <c r="G407" s="197"/>
      <c r="H407" s="197"/>
      <c r="I407" s="197"/>
      <c r="J407" s="197"/>
      <c r="K407" s="197"/>
      <c r="L407" s="197"/>
      <c r="M407" s="197"/>
      <c r="N407" s="197"/>
      <c r="O407" s="197"/>
      <c r="P407" s="197"/>
      <c r="Q407" s="197"/>
      <c r="R407" s="197"/>
      <c r="S407" s="197"/>
      <c r="T407" s="197"/>
      <c r="U407" s="197"/>
      <c r="V407" s="197"/>
      <c r="W407" s="197"/>
      <c r="X407" s="197"/>
      <c r="Y407" s="197"/>
      <c r="Z407" s="197"/>
      <c r="AA407" s="197"/>
      <c r="AB407" s="197"/>
      <c r="AC407" s="197"/>
      <c r="AD407" s="197"/>
      <c r="AE407" s="197"/>
      <c r="AF407" s="197"/>
      <c r="AG407" s="197"/>
      <c r="AH407" s="197"/>
      <c r="AI407" s="197"/>
      <c r="AJ407" s="197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  <c r="AZ407" s="31"/>
      <c r="BA407" s="31"/>
      <c r="BB407" s="31"/>
      <c r="BC407" s="31"/>
      <c r="BD407" s="31"/>
      <c r="BE407" s="31"/>
      <c r="BF407" s="31"/>
      <c r="BG407" s="31"/>
      <c r="BH407" s="31"/>
      <c r="BI407" s="31"/>
    </row>
    <row r="408" spans="2:61" x14ac:dyDescent="0.2">
      <c r="B408" s="197"/>
      <c r="C408" s="197"/>
      <c r="D408" s="197"/>
      <c r="E408" s="197"/>
      <c r="F408" s="197"/>
      <c r="G408" s="197"/>
      <c r="H408" s="197"/>
      <c r="I408" s="197"/>
      <c r="J408" s="197"/>
      <c r="K408" s="197"/>
      <c r="L408" s="197"/>
      <c r="M408" s="197"/>
      <c r="N408" s="197"/>
      <c r="O408" s="197"/>
      <c r="P408" s="197"/>
      <c r="Q408" s="197"/>
      <c r="R408" s="197"/>
      <c r="S408" s="197"/>
      <c r="T408" s="197"/>
      <c r="U408" s="197"/>
      <c r="V408" s="197"/>
      <c r="W408" s="197"/>
      <c r="X408" s="197"/>
      <c r="Y408" s="197"/>
      <c r="Z408" s="197"/>
      <c r="AA408" s="197"/>
      <c r="AB408" s="197"/>
      <c r="AC408" s="197"/>
      <c r="AD408" s="197"/>
      <c r="AE408" s="197"/>
      <c r="AF408" s="197"/>
      <c r="AG408" s="197"/>
      <c r="AH408" s="197"/>
      <c r="AI408" s="197"/>
      <c r="AJ408" s="197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  <c r="BA408" s="31"/>
      <c r="BB408" s="31"/>
      <c r="BC408" s="31"/>
      <c r="BD408" s="31"/>
      <c r="BE408" s="31"/>
      <c r="BF408" s="31"/>
      <c r="BG408" s="31"/>
      <c r="BH408" s="31"/>
      <c r="BI408" s="31"/>
    </row>
    <row r="409" spans="2:61" x14ac:dyDescent="0.2">
      <c r="B409" s="197"/>
      <c r="C409" s="197"/>
      <c r="D409" s="197"/>
      <c r="E409" s="197"/>
      <c r="F409" s="197"/>
      <c r="G409" s="197"/>
      <c r="H409" s="197"/>
      <c r="I409" s="197"/>
      <c r="J409" s="197"/>
      <c r="K409" s="197"/>
      <c r="L409" s="197"/>
      <c r="M409" s="197"/>
      <c r="N409" s="197"/>
      <c r="O409" s="197"/>
      <c r="P409" s="197"/>
      <c r="Q409" s="197"/>
      <c r="R409" s="197"/>
      <c r="S409" s="197"/>
      <c r="T409" s="197"/>
      <c r="U409" s="197"/>
      <c r="V409" s="197"/>
      <c r="W409" s="197"/>
      <c r="X409" s="197"/>
      <c r="Y409" s="197"/>
      <c r="Z409" s="197"/>
      <c r="AA409" s="197"/>
      <c r="AB409" s="197"/>
      <c r="AC409" s="197"/>
      <c r="AD409" s="197"/>
      <c r="AE409" s="197"/>
      <c r="AF409" s="197"/>
      <c r="AG409" s="197"/>
      <c r="AH409" s="197"/>
      <c r="AI409" s="197"/>
      <c r="AJ409" s="197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  <c r="BA409" s="31"/>
      <c r="BB409" s="31"/>
      <c r="BC409" s="31"/>
      <c r="BD409" s="31"/>
      <c r="BE409" s="31"/>
      <c r="BF409" s="31"/>
      <c r="BG409" s="31"/>
      <c r="BH409" s="31"/>
      <c r="BI409" s="31"/>
    </row>
    <row r="410" spans="2:61" x14ac:dyDescent="0.2">
      <c r="B410" s="197"/>
      <c r="C410" s="197"/>
      <c r="D410" s="197"/>
      <c r="E410" s="197"/>
      <c r="F410" s="197"/>
      <c r="G410" s="197"/>
      <c r="H410" s="197"/>
      <c r="I410" s="197"/>
      <c r="J410" s="197"/>
      <c r="K410" s="197"/>
      <c r="L410" s="197"/>
      <c r="M410" s="197"/>
      <c r="N410" s="197"/>
      <c r="O410" s="197"/>
      <c r="P410" s="197"/>
      <c r="Q410" s="197"/>
      <c r="R410" s="197"/>
      <c r="S410" s="197"/>
      <c r="T410" s="197"/>
      <c r="U410" s="197"/>
      <c r="V410" s="197"/>
      <c r="W410" s="197"/>
      <c r="X410" s="197"/>
      <c r="Y410" s="197"/>
      <c r="Z410" s="197"/>
      <c r="AA410" s="197"/>
      <c r="AB410" s="197"/>
      <c r="AC410" s="197"/>
      <c r="AD410" s="197"/>
      <c r="AE410" s="197"/>
      <c r="AF410" s="197"/>
      <c r="AG410" s="197"/>
      <c r="AH410" s="197"/>
      <c r="AI410" s="197"/>
      <c r="AJ410" s="197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  <c r="BA410" s="31"/>
      <c r="BB410" s="31"/>
      <c r="BC410" s="31"/>
      <c r="BD410" s="31"/>
      <c r="BE410" s="31"/>
      <c r="BF410" s="31"/>
      <c r="BG410" s="31"/>
      <c r="BH410" s="31"/>
      <c r="BI410" s="31"/>
    </row>
    <row r="411" spans="2:61" x14ac:dyDescent="0.2">
      <c r="B411" s="197"/>
      <c r="C411" s="197"/>
      <c r="D411" s="197"/>
      <c r="E411" s="197"/>
      <c r="F411" s="197"/>
      <c r="G411" s="197"/>
      <c r="H411" s="197"/>
      <c r="I411" s="197"/>
      <c r="J411" s="197"/>
      <c r="K411" s="197"/>
      <c r="L411" s="197"/>
      <c r="M411" s="197"/>
      <c r="N411" s="197"/>
      <c r="O411" s="197"/>
      <c r="P411" s="197"/>
      <c r="Q411" s="197"/>
      <c r="R411" s="197"/>
      <c r="S411" s="197"/>
      <c r="T411" s="197"/>
      <c r="U411" s="197"/>
      <c r="V411" s="197"/>
      <c r="W411" s="197"/>
      <c r="X411" s="197"/>
      <c r="Y411" s="197"/>
      <c r="Z411" s="197"/>
      <c r="AA411" s="197"/>
      <c r="AB411" s="197"/>
      <c r="AC411" s="197"/>
      <c r="AD411" s="197"/>
      <c r="AE411" s="197"/>
      <c r="AF411" s="197"/>
      <c r="AG411" s="197"/>
      <c r="AH411" s="197"/>
      <c r="AI411" s="197"/>
      <c r="AJ411" s="197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  <c r="BA411" s="31"/>
      <c r="BB411" s="31"/>
      <c r="BC411" s="31"/>
      <c r="BD411" s="31"/>
      <c r="BE411" s="31"/>
      <c r="BF411" s="31"/>
      <c r="BG411" s="31"/>
      <c r="BH411" s="31"/>
      <c r="BI411" s="31"/>
    </row>
    <row r="412" spans="2:61" x14ac:dyDescent="0.2">
      <c r="B412" s="197"/>
      <c r="C412" s="197"/>
      <c r="D412" s="197"/>
      <c r="E412" s="197"/>
      <c r="F412" s="197"/>
      <c r="G412" s="197"/>
      <c r="H412" s="197"/>
      <c r="I412" s="197"/>
      <c r="J412" s="197"/>
      <c r="K412" s="197"/>
      <c r="L412" s="197"/>
      <c r="M412" s="197"/>
      <c r="N412" s="197"/>
      <c r="O412" s="197"/>
      <c r="P412" s="197"/>
      <c r="Q412" s="197"/>
      <c r="R412" s="197"/>
      <c r="S412" s="197"/>
      <c r="T412" s="197"/>
      <c r="U412" s="197"/>
      <c r="V412" s="197"/>
      <c r="W412" s="197"/>
      <c r="X412" s="197"/>
      <c r="Y412" s="197"/>
      <c r="Z412" s="197"/>
      <c r="AA412" s="197"/>
      <c r="AB412" s="197"/>
      <c r="AC412" s="197"/>
      <c r="AD412" s="197"/>
      <c r="AE412" s="197"/>
      <c r="AF412" s="197"/>
      <c r="AG412" s="197"/>
      <c r="AH412" s="197"/>
      <c r="AI412" s="197"/>
      <c r="AJ412" s="197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  <c r="BA412" s="31"/>
      <c r="BB412" s="31"/>
      <c r="BC412" s="31"/>
      <c r="BD412" s="31"/>
      <c r="BE412" s="31"/>
      <c r="BF412" s="31"/>
      <c r="BG412" s="31"/>
      <c r="BH412" s="31"/>
      <c r="BI412" s="31"/>
    </row>
    <row r="413" spans="2:61" x14ac:dyDescent="0.2">
      <c r="B413" s="197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197"/>
      <c r="Q413" s="197"/>
      <c r="R413" s="197"/>
      <c r="S413" s="197"/>
      <c r="T413" s="197"/>
      <c r="U413" s="197"/>
      <c r="V413" s="197"/>
      <c r="W413" s="197"/>
      <c r="X413" s="197"/>
      <c r="Y413" s="197"/>
      <c r="Z413" s="197"/>
      <c r="AA413" s="197"/>
      <c r="AB413" s="197"/>
      <c r="AC413" s="197"/>
      <c r="AD413" s="197"/>
      <c r="AE413" s="197"/>
      <c r="AF413" s="197"/>
      <c r="AG413" s="197"/>
      <c r="AH413" s="197"/>
      <c r="AI413" s="197"/>
      <c r="AJ413" s="197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  <c r="BA413" s="31"/>
      <c r="BB413" s="31"/>
      <c r="BC413" s="31"/>
      <c r="BD413" s="31"/>
      <c r="BE413" s="31"/>
      <c r="BF413" s="31"/>
      <c r="BG413" s="31"/>
      <c r="BH413" s="31"/>
      <c r="BI413" s="31"/>
    </row>
    <row r="414" spans="2:61" x14ac:dyDescent="0.2">
      <c r="B414" s="197"/>
      <c r="C414" s="197"/>
      <c r="D414" s="197"/>
      <c r="E414" s="197"/>
      <c r="F414" s="197"/>
      <c r="G414" s="197"/>
      <c r="H414" s="197"/>
      <c r="I414" s="197"/>
      <c r="J414" s="197"/>
      <c r="K414" s="197"/>
      <c r="L414" s="197"/>
      <c r="M414" s="197"/>
      <c r="N414" s="197"/>
      <c r="O414" s="197"/>
      <c r="P414" s="197"/>
      <c r="Q414" s="197"/>
      <c r="R414" s="197"/>
      <c r="S414" s="197"/>
      <c r="T414" s="197"/>
      <c r="U414" s="197"/>
      <c r="V414" s="197"/>
      <c r="W414" s="197"/>
      <c r="X414" s="197"/>
      <c r="Y414" s="197"/>
      <c r="Z414" s="197"/>
      <c r="AA414" s="197"/>
      <c r="AB414" s="197"/>
      <c r="AC414" s="197"/>
      <c r="AD414" s="197"/>
      <c r="AE414" s="197"/>
      <c r="AF414" s="197"/>
      <c r="AG414" s="197"/>
      <c r="AH414" s="197"/>
      <c r="AI414" s="197"/>
      <c r="AJ414" s="197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  <c r="BA414" s="31"/>
      <c r="BB414" s="31"/>
      <c r="BC414" s="31"/>
      <c r="BD414" s="31"/>
      <c r="BE414" s="31"/>
      <c r="BF414" s="31"/>
      <c r="BG414" s="31"/>
      <c r="BH414" s="31"/>
      <c r="BI414" s="31"/>
    </row>
    <row r="415" spans="2:61" x14ac:dyDescent="0.2">
      <c r="B415" s="197"/>
      <c r="C415" s="197"/>
      <c r="D415" s="197"/>
      <c r="E415" s="197"/>
      <c r="F415" s="197"/>
      <c r="G415" s="197"/>
      <c r="H415" s="197"/>
      <c r="I415" s="197"/>
      <c r="J415" s="197"/>
      <c r="K415" s="197"/>
      <c r="L415" s="197"/>
      <c r="M415" s="197"/>
      <c r="N415" s="197"/>
      <c r="O415" s="197"/>
      <c r="P415" s="197"/>
      <c r="Q415" s="197"/>
      <c r="R415" s="197"/>
      <c r="S415" s="197"/>
      <c r="T415" s="197"/>
      <c r="U415" s="197"/>
      <c r="V415" s="197"/>
      <c r="W415" s="197"/>
      <c r="X415" s="197"/>
      <c r="Y415" s="197"/>
      <c r="Z415" s="197"/>
      <c r="AA415" s="197"/>
      <c r="AB415" s="197"/>
      <c r="AC415" s="197"/>
      <c r="AD415" s="197"/>
      <c r="AE415" s="197"/>
      <c r="AF415" s="197"/>
      <c r="AG415" s="197"/>
      <c r="AH415" s="197"/>
      <c r="AI415" s="197"/>
      <c r="AJ415" s="197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  <c r="BA415" s="31"/>
      <c r="BB415" s="31"/>
      <c r="BC415" s="31"/>
      <c r="BD415" s="31"/>
      <c r="BE415" s="31"/>
      <c r="BF415" s="31"/>
      <c r="BG415" s="31"/>
      <c r="BH415" s="31"/>
      <c r="BI415" s="31"/>
    </row>
    <row r="416" spans="2:61" x14ac:dyDescent="0.2">
      <c r="B416" s="197"/>
      <c r="C416" s="197"/>
      <c r="D416" s="197"/>
      <c r="E416" s="197"/>
      <c r="F416" s="197"/>
      <c r="G416" s="197"/>
      <c r="H416" s="197"/>
      <c r="I416" s="197"/>
      <c r="J416" s="197"/>
      <c r="K416" s="197"/>
      <c r="L416" s="197"/>
      <c r="M416" s="197"/>
      <c r="N416" s="197"/>
      <c r="O416" s="197"/>
      <c r="P416" s="197"/>
      <c r="Q416" s="197"/>
      <c r="R416" s="197"/>
      <c r="S416" s="197"/>
      <c r="T416" s="197"/>
      <c r="U416" s="197"/>
      <c r="V416" s="197"/>
      <c r="W416" s="197"/>
      <c r="X416" s="197"/>
      <c r="Y416" s="197"/>
      <c r="Z416" s="197"/>
      <c r="AA416" s="197"/>
      <c r="AB416" s="197"/>
      <c r="AC416" s="197"/>
      <c r="AD416" s="197"/>
      <c r="AE416" s="197"/>
      <c r="AF416" s="197"/>
      <c r="AG416" s="197"/>
      <c r="AH416" s="197"/>
      <c r="AI416" s="197"/>
      <c r="AJ416" s="197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  <c r="BA416" s="31"/>
      <c r="BB416" s="31"/>
      <c r="BC416" s="31"/>
      <c r="BD416" s="31"/>
      <c r="BE416" s="31"/>
      <c r="BF416" s="31"/>
      <c r="BG416" s="31"/>
      <c r="BH416" s="31"/>
      <c r="BI416" s="31"/>
    </row>
    <row r="417" spans="2:61" x14ac:dyDescent="0.2">
      <c r="B417" s="197"/>
      <c r="C417" s="197"/>
      <c r="D417" s="197"/>
      <c r="E417" s="197"/>
      <c r="F417" s="197"/>
      <c r="G417" s="197"/>
      <c r="H417" s="197"/>
      <c r="I417" s="197"/>
      <c r="J417" s="197"/>
      <c r="K417" s="197"/>
      <c r="L417" s="197"/>
      <c r="M417" s="197"/>
      <c r="N417" s="197"/>
      <c r="O417" s="197"/>
      <c r="P417" s="197"/>
      <c r="Q417" s="197"/>
      <c r="R417" s="197"/>
      <c r="S417" s="197"/>
      <c r="T417" s="197"/>
      <c r="U417" s="197"/>
      <c r="V417" s="197"/>
      <c r="W417" s="197"/>
      <c r="X417" s="197"/>
      <c r="Y417" s="197"/>
      <c r="Z417" s="197"/>
      <c r="AA417" s="197"/>
      <c r="AB417" s="197"/>
      <c r="AC417" s="197"/>
      <c r="AD417" s="197"/>
      <c r="AE417" s="197"/>
      <c r="AF417" s="197"/>
      <c r="AG417" s="197"/>
      <c r="AH417" s="197"/>
      <c r="AI417" s="197"/>
      <c r="AJ417" s="197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  <c r="BA417" s="31"/>
      <c r="BB417" s="31"/>
      <c r="BC417" s="31"/>
      <c r="BD417" s="31"/>
      <c r="BE417" s="31"/>
      <c r="BF417" s="31"/>
      <c r="BG417" s="31"/>
      <c r="BH417" s="31"/>
      <c r="BI417" s="31"/>
    </row>
    <row r="418" spans="2:61" x14ac:dyDescent="0.2">
      <c r="B418" s="197"/>
      <c r="C418" s="197"/>
      <c r="D418" s="197"/>
      <c r="E418" s="197"/>
      <c r="F418" s="197"/>
      <c r="G418" s="197"/>
      <c r="H418" s="197"/>
      <c r="I418" s="197"/>
      <c r="J418" s="197"/>
      <c r="K418" s="197"/>
      <c r="L418" s="197"/>
      <c r="M418" s="197"/>
      <c r="N418" s="197"/>
      <c r="O418" s="197"/>
      <c r="P418" s="197"/>
      <c r="Q418" s="197"/>
      <c r="R418" s="197"/>
      <c r="S418" s="197"/>
      <c r="T418" s="197"/>
      <c r="U418" s="197"/>
      <c r="V418" s="197"/>
      <c r="W418" s="197"/>
      <c r="X418" s="197"/>
      <c r="Y418" s="197"/>
      <c r="Z418" s="197"/>
      <c r="AA418" s="197"/>
      <c r="AB418" s="197"/>
      <c r="AC418" s="197"/>
      <c r="AD418" s="197"/>
      <c r="AE418" s="197"/>
      <c r="AF418" s="197"/>
      <c r="AG418" s="197"/>
      <c r="AH418" s="197"/>
      <c r="AI418" s="197"/>
      <c r="AJ418" s="197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  <c r="BA418" s="31"/>
      <c r="BB418" s="31"/>
      <c r="BC418" s="31"/>
      <c r="BD418" s="31"/>
      <c r="BE418" s="31"/>
      <c r="BF418" s="31"/>
      <c r="BG418" s="31"/>
      <c r="BH418" s="31"/>
      <c r="BI418" s="31"/>
    </row>
    <row r="419" spans="2:61" x14ac:dyDescent="0.2">
      <c r="B419" s="197"/>
      <c r="C419" s="197"/>
      <c r="D419" s="197"/>
      <c r="E419" s="197"/>
      <c r="F419" s="197"/>
      <c r="G419" s="197"/>
      <c r="H419" s="197"/>
      <c r="I419" s="197"/>
      <c r="J419" s="197"/>
      <c r="K419" s="197"/>
      <c r="L419" s="197"/>
      <c r="M419" s="197"/>
      <c r="N419" s="197"/>
      <c r="O419" s="197"/>
      <c r="P419" s="197"/>
      <c r="Q419" s="197"/>
      <c r="R419" s="197"/>
      <c r="S419" s="197"/>
      <c r="T419" s="197"/>
      <c r="U419" s="197"/>
      <c r="V419" s="197"/>
      <c r="W419" s="197"/>
      <c r="X419" s="197"/>
      <c r="Y419" s="197"/>
      <c r="Z419" s="197"/>
      <c r="AA419" s="197"/>
      <c r="AB419" s="197"/>
      <c r="AC419" s="197"/>
      <c r="AD419" s="197"/>
      <c r="AE419" s="197"/>
      <c r="AF419" s="197"/>
      <c r="AG419" s="197"/>
      <c r="AH419" s="197"/>
      <c r="AI419" s="197"/>
      <c r="AJ419" s="197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  <c r="AZ419" s="31"/>
      <c r="BA419" s="31"/>
      <c r="BB419" s="31"/>
      <c r="BC419" s="31"/>
      <c r="BD419" s="31"/>
      <c r="BE419" s="31"/>
      <c r="BF419" s="31"/>
      <c r="BG419" s="31"/>
      <c r="BH419" s="31"/>
      <c r="BI419" s="31"/>
    </row>
    <row r="420" spans="2:61" x14ac:dyDescent="0.2">
      <c r="B420" s="197"/>
      <c r="C420" s="197"/>
      <c r="D420" s="197"/>
      <c r="E420" s="197"/>
      <c r="F420" s="197"/>
      <c r="G420" s="197"/>
      <c r="H420" s="197"/>
      <c r="I420" s="197"/>
      <c r="J420" s="197"/>
      <c r="K420" s="197"/>
      <c r="L420" s="197"/>
      <c r="M420" s="197"/>
      <c r="N420" s="197"/>
      <c r="O420" s="197"/>
      <c r="P420" s="197"/>
      <c r="Q420" s="197"/>
      <c r="R420" s="197"/>
      <c r="S420" s="197"/>
      <c r="T420" s="197"/>
      <c r="U420" s="197"/>
      <c r="V420" s="197"/>
      <c r="W420" s="197"/>
      <c r="X420" s="197"/>
      <c r="Y420" s="197"/>
      <c r="Z420" s="197"/>
      <c r="AA420" s="197"/>
      <c r="AB420" s="197"/>
      <c r="AC420" s="197"/>
      <c r="AD420" s="197"/>
      <c r="AE420" s="197"/>
      <c r="AF420" s="197"/>
      <c r="AG420" s="197"/>
      <c r="AH420" s="197"/>
      <c r="AI420" s="197"/>
      <c r="AJ420" s="197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  <c r="BA420" s="31"/>
      <c r="BB420" s="31"/>
      <c r="BC420" s="31"/>
      <c r="BD420" s="31"/>
      <c r="BE420" s="31"/>
      <c r="BF420" s="31"/>
      <c r="BG420" s="31"/>
      <c r="BH420" s="31"/>
      <c r="BI420" s="31"/>
    </row>
    <row r="421" spans="2:61" x14ac:dyDescent="0.2">
      <c r="B421" s="197"/>
      <c r="C421" s="197"/>
      <c r="D421" s="197"/>
      <c r="E421" s="197"/>
      <c r="F421" s="197"/>
      <c r="G421" s="197"/>
      <c r="H421" s="197"/>
      <c r="I421" s="197"/>
      <c r="J421" s="197"/>
      <c r="K421" s="197"/>
      <c r="L421" s="197"/>
      <c r="M421" s="197"/>
      <c r="N421" s="197"/>
      <c r="O421" s="197"/>
      <c r="P421" s="197"/>
      <c r="Q421" s="197"/>
      <c r="R421" s="197"/>
      <c r="S421" s="197"/>
      <c r="T421" s="197"/>
      <c r="U421" s="197"/>
      <c r="V421" s="197"/>
      <c r="W421" s="197"/>
      <c r="X421" s="197"/>
      <c r="Y421" s="197"/>
      <c r="Z421" s="197"/>
      <c r="AA421" s="197"/>
      <c r="AB421" s="197"/>
      <c r="AC421" s="197"/>
      <c r="AD421" s="197"/>
      <c r="AE421" s="197"/>
      <c r="AF421" s="197"/>
      <c r="AG421" s="197"/>
      <c r="AH421" s="197"/>
      <c r="AI421" s="197"/>
      <c r="AJ421" s="197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  <c r="AZ421" s="31"/>
      <c r="BA421" s="31"/>
      <c r="BB421" s="31"/>
      <c r="BC421" s="31"/>
      <c r="BD421" s="31"/>
      <c r="BE421" s="31"/>
      <c r="BF421" s="31"/>
      <c r="BG421" s="31"/>
      <c r="BH421" s="31"/>
      <c r="BI421" s="31"/>
    </row>
    <row r="422" spans="2:61" x14ac:dyDescent="0.2">
      <c r="B422" s="197"/>
      <c r="C422" s="197"/>
      <c r="D422" s="197"/>
      <c r="E422" s="197"/>
      <c r="F422" s="197"/>
      <c r="G422" s="197"/>
      <c r="H422" s="197"/>
      <c r="I422" s="197"/>
      <c r="J422" s="197"/>
      <c r="K422" s="197"/>
      <c r="L422" s="197"/>
      <c r="M422" s="197"/>
      <c r="N422" s="197"/>
      <c r="O422" s="197"/>
      <c r="P422" s="197"/>
      <c r="Q422" s="197"/>
      <c r="R422" s="197"/>
      <c r="S422" s="197"/>
      <c r="T422" s="197"/>
      <c r="U422" s="197"/>
      <c r="V422" s="197"/>
      <c r="W422" s="197"/>
      <c r="X422" s="197"/>
      <c r="Y422" s="197"/>
      <c r="Z422" s="197"/>
      <c r="AA422" s="197"/>
      <c r="AB422" s="197"/>
      <c r="AC422" s="197"/>
      <c r="AD422" s="197"/>
      <c r="AE422" s="197"/>
      <c r="AF422" s="197"/>
      <c r="AG422" s="197"/>
      <c r="AH422" s="197"/>
      <c r="AI422" s="197"/>
      <c r="AJ422" s="197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  <c r="BA422" s="31"/>
      <c r="BB422" s="31"/>
      <c r="BC422" s="31"/>
      <c r="BD422" s="31"/>
      <c r="BE422" s="31"/>
      <c r="BF422" s="31"/>
      <c r="BG422" s="31"/>
      <c r="BH422" s="31"/>
      <c r="BI422" s="31"/>
    </row>
    <row r="423" spans="2:61" x14ac:dyDescent="0.2">
      <c r="B423" s="197"/>
      <c r="C423" s="197"/>
      <c r="D423" s="197"/>
      <c r="E423" s="197"/>
      <c r="F423" s="197"/>
      <c r="G423" s="197"/>
      <c r="H423" s="197"/>
      <c r="I423" s="197"/>
      <c r="J423" s="197"/>
      <c r="K423" s="197"/>
      <c r="L423" s="197"/>
      <c r="M423" s="197"/>
      <c r="N423" s="197"/>
      <c r="O423" s="197"/>
      <c r="P423" s="197"/>
      <c r="Q423" s="197"/>
      <c r="R423" s="197"/>
      <c r="S423" s="197"/>
      <c r="T423" s="197"/>
      <c r="U423" s="197"/>
      <c r="V423" s="197"/>
      <c r="W423" s="197"/>
      <c r="X423" s="197"/>
      <c r="Y423" s="197"/>
      <c r="Z423" s="197"/>
      <c r="AA423" s="197"/>
      <c r="AB423" s="197"/>
      <c r="AC423" s="197"/>
      <c r="AD423" s="197"/>
      <c r="AE423" s="197"/>
      <c r="AF423" s="197"/>
      <c r="AG423" s="197"/>
      <c r="AH423" s="197"/>
      <c r="AI423" s="197"/>
      <c r="AJ423" s="197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  <c r="BA423" s="31"/>
      <c r="BB423" s="31"/>
      <c r="BC423" s="31"/>
      <c r="BD423" s="31"/>
      <c r="BE423" s="31"/>
      <c r="BF423" s="31"/>
      <c r="BG423" s="31"/>
      <c r="BH423" s="31"/>
      <c r="BI423" s="31"/>
    </row>
    <row r="424" spans="2:61" x14ac:dyDescent="0.2">
      <c r="B424" s="197"/>
      <c r="C424" s="197"/>
      <c r="D424" s="197"/>
      <c r="E424" s="197"/>
      <c r="F424" s="197"/>
      <c r="G424" s="197"/>
      <c r="H424" s="197"/>
      <c r="I424" s="197"/>
      <c r="J424" s="197"/>
      <c r="K424" s="197"/>
      <c r="L424" s="197"/>
      <c r="M424" s="197"/>
      <c r="N424" s="197"/>
      <c r="O424" s="197"/>
      <c r="P424" s="197"/>
      <c r="Q424" s="197"/>
      <c r="R424" s="197"/>
      <c r="S424" s="197"/>
      <c r="T424" s="197"/>
      <c r="U424" s="197"/>
      <c r="V424" s="197"/>
      <c r="W424" s="197"/>
      <c r="X424" s="197"/>
      <c r="Y424" s="197"/>
      <c r="Z424" s="197"/>
      <c r="AA424" s="197"/>
      <c r="AB424" s="197"/>
      <c r="AC424" s="197"/>
      <c r="AD424" s="197"/>
      <c r="AE424" s="197"/>
      <c r="AF424" s="197"/>
      <c r="AG424" s="197"/>
      <c r="AH424" s="197"/>
      <c r="AI424" s="197"/>
      <c r="AJ424" s="197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  <c r="BA424" s="31"/>
      <c r="BB424" s="31"/>
      <c r="BC424" s="31"/>
      <c r="BD424" s="31"/>
      <c r="BE424" s="31"/>
      <c r="BF424" s="31"/>
      <c r="BG424" s="31"/>
      <c r="BH424" s="31"/>
      <c r="BI424" s="31"/>
    </row>
    <row r="425" spans="2:61" x14ac:dyDescent="0.2">
      <c r="B425" s="197"/>
      <c r="C425" s="197"/>
      <c r="D425" s="197"/>
      <c r="E425" s="197"/>
      <c r="F425" s="197"/>
      <c r="G425" s="197"/>
      <c r="H425" s="197"/>
      <c r="I425" s="197"/>
      <c r="J425" s="197"/>
      <c r="K425" s="197"/>
      <c r="L425" s="197"/>
      <c r="M425" s="197"/>
      <c r="N425" s="197"/>
      <c r="O425" s="197"/>
      <c r="P425" s="197"/>
      <c r="Q425" s="197"/>
      <c r="R425" s="197"/>
      <c r="S425" s="197"/>
      <c r="T425" s="197"/>
      <c r="U425" s="197"/>
      <c r="V425" s="197"/>
      <c r="W425" s="197"/>
      <c r="X425" s="197"/>
      <c r="Y425" s="197"/>
      <c r="Z425" s="197"/>
      <c r="AA425" s="197"/>
      <c r="AB425" s="197"/>
      <c r="AC425" s="197"/>
      <c r="AD425" s="197"/>
      <c r="AE425" s="197"/>
      <c r="AF425" s="197"/>
      <c r="AG425" s="197"/>
      <c r="AH425" s="197"/>
      <c r="AI425" s="197"/>
      <c r="AJ425" s="197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  <c r="BA425" s="31"/>
      <c r="BB425" s="31"/>
      <c r="BC425" s="31"/>
      <c r="BD425" s="31"/>
      <c r="BE425" s="31"/>
      <c r="BF425" s="31"/>
      <c r="BG425" s="31"/>
      <c r="BH425" s="31"/>
      <c r="BI425" s="31"/>
    </row>
    <row r="426" spans="2:61" x14ac:dyDescent="0.2">
      <c r="B426" s="197"/>
      <c r="C426" s="197"/>
      <c r="D426" s="197"/>
      <c r="E426" s="197"/>
      <c r="F426" s="197"/>
      <c r="G426" s="197"/>
      <c r="H426" s="197"/>
      <c r="I426" s="197"/>
      <c r="J426" s="197"/>
      <c r="K426" s="197"/>
      <c r="L426" s="197"/>
      <c r="M426" s="197"/>
      <c r="N426" s="197"/>
      <c r="O426" s="197"/>
      <c r="P426" s="197"/>
      <c r="Q426" s="197"/>
      <c r="R426" s="197"/>
      <c r="S426" s="197"/>
      <c r="T426" s="197"/>
      <c r="U426" s="197"/>
      <c r="V426" s="197"/>
      <c r="W426" s="197"/>
      <c r="X426" s="197"/>
      <c r="Y426" s="197"/>
      <c r="Z426" s="197"/>
      <c r="AA426" s="197"/>
      <c r="AB426" s="197"/>
      <c r="AC426" s="197"/>
      <c r="AD426" s="197"/>
      <c r="AE426" s="197"/>
      <c r="AF426" s="197"/>
      <c r="AG426" s="197"/>
      <c r="AH426" s="197"/>
      <c r="AI426" s="197"/>
      <c r="AJ426" s="197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  <c r="BA426" s="31"/>
      <c r="BB426" s="31"/>
      <c r="BC426" s="31"/>
      <c r="BD426" s="31"/>
      <c r="BE426" s="31"/>
      <c r="BF426" s="31"/>
      <c r="BG426" s="31"/>
      <c r="BH426" s="31"/>
      <c r="BI426" s="31"/>
    </row>
    <row r="427" spans="2:61" x14ac:dyDescent="0.2">
      <c r="B427" s="197"/>
      <c r="C427" s="197"/>
      <c r="D427" s="197"/>
      <c r="E427" s="197"/>
      <c r="F427" s="197"/>
      <c r="G427" s="197"/>
      <c r="H427" s="197"/>
      <c r="I427" s="197"/>
      <c r="J427" s="197"/>
      <c r="K427" s="197"/>
      <c r="L427" s="197"/>
      <c r="M427" s="197"/>
      <c r="N427" s="197"/>
      <c r="O427" s="197"/>
      <c r="P427" s="197"/>
      <c r="Q427" s="197"/>
      <c r="R427" s="197"/>
      <c r="S427" s="197"/>
      <c r="T427" s="197"/>
      <c r="U427" s="197"/>
      <c r="V427" s="197"/>
      <c r="W427" s="197"/>
      <c r="X427" s="197"/>
      <c r="Y427" s="197"/>
      <c r="Z427" s="197"/>
      <c r="AA427" s="197"/>
      <c r="AB427" s="197"/>
      <c r="AC427" s="197"/>
      <c r="AD427" s="197"/>
      <c r="AE427" s="197"/>
      <c r="AF427" s="197"/>
      <c r="AG427" s="197"/>
      <c r="AH427" s="197"/>
      <c r="AI427" s="197"/>
      <c r="AJ427" s="197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  <c r="BA427" s="31"/>
      <c r="BB427" s="31"/>
      <c r="BC427" s="31"/>
      <c r="BD427" s="31"/>
      <c r="BE427" s="31"/>
      <c r="BF427" s="31"/>
      <c r="BG427" s="31"/>
      <c r="BH427" s="31"/>
      <c r="BI427" s="31"/>
    </row>
    <row r="428" spans="2:61" x14ac:dyDescent="0.2">
      <c r="B428" s="197"/>
      <c r="C428" s="197"/>
      <c r="D428" s="197"/>
      <c r="E428" s="197"/>
      <c r="F428" s="197"/>
      <c r="G428" s="197"/>
      <c r="H428" s="197"/>
      <c r="I428" s="197"/>
      <c r="J428" s="197"/>
      <c r="K428" s="197"/>
      <c r="L428" s="197"/>
      <c r="M428" s="197"/>
      <c r="N428" s="197"/>
      <c r="O428" s="197"/>
      <c r="P428" s="197"/>
      <c r="Q428" s="197"/>
      <c r="R428" s="197"/>
      <c r="S428" s="197"/>
      <c r="T428" s="197"/>
      <c r="U428" s="197"/>
      <c r="V428" s="197"/>
      <c r="W428" s="197"/>
      <c r="X428" s="197"/>
      <c r="Y428" s="197"/>
      <c r="Z428" s="197"/>
      <c r="AA428" s="197"/>
      <c r="AB428" s="197"/>
      <c r="AC428" s="197"/>
      <c r="AD428" s="197"/>
      <c r="AE428" s="197"/>
      <c r="AF428" s="197"/>
      <c r="AG428" s="197"/>
      <c r="AH428" s="197"/>
      <c r="AI428" s="197"/>
      <c r="AJ428" s="197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  <c r="BA428" s="31"/>
      <c r="BB428" s="31"/>
      <c r="BC428" s="31"/>
      <c r="BD428" s="31"/>
      <c r="BE428" s="31"/>
      <c r="BF428" s="31"/>
      <c r="BG428" s="31"/>
      <c r="BH428" s="31"/>
      <c r="BI428" s="31"/>
    </row>
    <row r="429" spans="2:61" x14ac:dyDescent="0.2">
      <c r="B429" s="197"/>
      <c r="C429" s="197"/>
      <c r="D429" s="197"/>
      <c r="E429" s="197"/>
      <c r="F429" s="197"/>
      <c r="G429" s="197"/>
      <c r="H429" s="197"/>
      <c r="I429" s="197"/>
      <c r="J429" s="197"/>
      <c r="K429" s="197"/>
      <c r="L429" s="197"/>
      <c r="M429" s="197"/>
      <c r="N429" s="197"/>
      <c r="O429" s="197"/>
      <c r="P429" s="197"/>
      <c r="Q429" s="197"/>
      <c r="R429" s="197"/>
      <c r="S429" s="197"/>
      <c r="T429" s="197"/>
      <c r="U429" s="197"/>
      <c r="V429" s="197"/>
      <c r="W429" s="197"/>
      <c r="X429" s="197"/>
      <c r="Y429" s="197"/>
      <c r="Z429" s="197"/>
      <c r="AA429" s="197"/>
      <c r="AB429" s="197"/>
      <c r="AC429" s="197"/>
      <c r="AD429" s="197"/>
      <c r="AE429" s="197"/>
      <c r="AF429" s="197"/>
      <c r="AG429" s="197"/>
      <c r="AH429" s="197"/>
      <c r="AI429" s="197"/>
      <c r="AJ429" s="197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  <c r="BA429" s="31"/>
      <c r="BB429" s="31"/>
      <c r="BC429" s="31"/>
      <c r="BD429" s="31"/>
      <c r="BE429" s="31"/>
      <c r="BF429" s="31"/>
      <c r="BG429" s="31"/>
      <c r="BH429" s="31"/>
      <c r="BI429" s="31"/>
    </row>
    <row r="430" spans="2:61" x14ac:dyDescent="0.2">
      <c r="B430" s="197"/>
      <c r="C430" s="197"/>
      <c r="D430" s="197"/>
      <c r="E430" s="197"/>
      <c r="F430" s="197"/>
      <c r="G430" s="197"/>
      <c r="H430" s="197"/>
      <c r="I430" s="197"/>
      <c r="J430" s="197"/>
      <c r="K430" s="197"/>
      <c r="L430" s="197"/>
      <c r="M430" s="197"/>
      <c r="N430" s="197"/>
      <c r="O430" s="197"/>
      <c r="P430" s="197"/>
      <c r="Q430" s="197"/>
      <c r="R430" s="197"/>
      <c r="S430" s="197"/>
      <c r="T430" s="197"/>
      <c r="U430" s="197"/>
      <c r="V430" s="197"/>
      <c r="W430" s="197"/>
      <c r="X430" s="197"/>
      <c r="Y430" s="197"/>
      <c r="Z430" s="197"/>
      <c r="AA430" s="197"/>
      <c r="AB430" s="197"/>
      <c r="AC430" s="197"/>
      <c r="AD430" s="197"/>
      <c r="AE430" s="197"/>
      <c r="AF430" s="197"/>
      <c r="AG430" s="197"/>
      <c r="AH430" s="197"/>
      <c r="AI430" s="197"/>
      <c r="AJ430" s="197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  <c r="BA430" s="31"/>
      <c r="BB430" s="31"/>
      <c r="BC430" s="31"/>
      <c r="BD430" s="31"/>
      <c r="BE430" s="31"/>
      <c r="BF430" s="31"/>
      <c r="BG430" s="31"/>
      <c r="BH430" s="31"/>
      <c r="BI430" s="31"/>
    </row>
    <row r="431" spans="2:61" x14ac:dyDescent="0.2">
      <c r="B431" s="197"/>
      <c r="C431" s="197"/>
      <c r="D431" s="197"/>
      <c r="E431" s="197"/>
      <c r="F431" s="197"/>
      <c r="G431" s="197"/>
      <c r="H431" s="197"/>
      <c r="I431" s="197"/>
      <c r="J431" s="197"/>
      <c r="K431" s="197"/>
      <c r="L431" s="197"/>
      <c r="M431" s="197"/>
      <c r="N431" s="197"/>
      <c r="O431" s="197"/>
      <c r="P431" s="197"/>
      <c r="Q431" s="197"/>
      <c r="R431" s="197"/>
      <c r="S431" s="197"/>
      <c r="T431" s="197"/>
      <c r="U431" s="197"/>
      <c r="V431" s="197"/>
      <c r="W431" s="197"/>
      <c r="X431" s="197"/>
      <c r="Y431" s="197"/>
      <c r="Z431" s="197"/>
      <c r="AA431" s="197"/>
      <c r="AB431" s="197"/>
      <c r="AC431" s="197"/>
      <c r="AD431" s="197"/>
      <c r="AE431" s="197"/>
      <c r="AF431" s="197"/>
      <c r="AG431" s="197"/>
      <c r="AH431" s="197"/>
      <c r="AI431" s="197"/>
      <c r="AJ431" s="197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  <c r="BA431" s="31"/>
      <c r="BB431" s="31"/>
      <c r="BC431" s="31"/>
      <c r="BD431" s="31"/>
      <c r="BE431" s="31"/>
      <c r="BF431" s="31"/>
      <c r="BG431" s="31"/>
      <c r="BH431" s="31"/>
      <c r="BI431" s="31"/>
    </row>
    <row r="432" spans="2:61" x14ac:dyDescent="0.2">
      <c r="B432" s="197"/>
      <c r="C432" s="197"/>
      <c r="D432" s="197"/>
      <c r="E432" s="197"/>
      <c r="F432" s="197"/>
      <c r="G432" s="197"/>
      <c r="H432" s="197"/>
      <c r="I432" s="197"/>
      <c r="J432" s="197"/>
      <c r="K432" s="197"/>
      <c r="L432" s="197"/>
      <c r="M432" s="197"/>
      <c r="N432" s="197"/>
      <c r="O432" s="197"/>
      <c r="P432" s="197"/>
      <c r="Q432" s="197"/>
      <c r="R432" s="197"/>
      <c r="S432" s="197"/>
      <c r="T432" s="197"/>
      <c r="U432" s="197"/>
      <c r="V432" s="197"/>
      <c r="W432" s="197"/>
      <c r="X432" s="197"/>
      <c r="Y432" s="197"/>
      <c r="Z432" s="197"/>
      <c r="AA432" s="197"/>
      <c r="AB432" s="197"/>
      <c r="AC432" s="197"/>
      <c r="AD432" s="197"/>
      <c r="AE432" s="197"/>
      <c r="AF432" s="197"/>
      <c r="AG432" s="197"/>
      <c r="AH432" s="197"/>
      <c r="AI432" s="197"/>
      <c r="AJ432" s="197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  <c r="BA432" s="31"/>
      <c r="BB432" s="31"/>
      <c r="BC432" s="31"/>
      <c r="BD432" s="31"/>
      <c r="BE432" s="31"/>
      <c r="BF432" s="31"/>
      <c r="BG432" s="31"/>
      <c r="BH432" s="31"/>
      <c r="BI432" s="31"/>
    </row>
    <row r="433" spans="2:61" x14ac:dyDescent="0.2">
      <c r="B433" s="197"/>
      <c r="C433" s="197"/>
      <c r="D433" s="197"/>
      <c r="E433" s="197"/>
      <c r="F433" s="197"/>
      <c r="G433" s="197"/>
      <c r="H433" s="197"/>
      <c r="I433" s="197"/>
      <c r="J433" s="197"/>
      <c r="K433" s="197"/>
      <c r="L433" s="197"/>
      <c r="M433" s="197"/>
      <c r="N433" s="197"/>
      <c r="O433" s="197"/>
      <c r="P433" s="197"/>
      <c r="Q433" s="197"/>
      <c r="R433" s="197"/>
      <c r="S433" s="197"/>
      <c r="T433" s="197"/>
      <c r="U433" s="197"/>
      <c r="V433" s="197"/>
      <c r="W433" s="197"/>
      <c r="X433" s="197"/>
      <c r="Y433" s="197"/>
      <c r="Z433" s="197"/>
      <c r="AA433" s="197"/>
      <c r="AB433" s="197"/>
      <c r="AC433" s="197"/>
      <c r="AD433" s="197"/>
      <c r="AE433" s="197"/>
      <c r="AF433" s="197"/>
      <c r="AG433" s="197"/>
      <c r="AH433" s="197"/>
      <c r="AI433" s="197"/>
      <c r="AJ433" s="197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  <c r="BA433" s="31"/>
      <c r="BB433" s="31"/>
      <c r="BC433" s="31"/>
      <c r="BD433" s="31"/>
      <c r="BE433" s="31"/>
      <c r="BF433" s="31"/>
      <c r="BG433" s="31"/>
      <c r="BH433" s="31"/>
      <c r="BI433" s="31"/>
    </row>
    <row r="434" spans="2:61" x14ac:dyDescent="0.2">
      <c r="B434" s="197"/>
      <c r="C434" s="197"/>
      <c r="D434" s="197"/>
      <c r="E434" s="197"/>
      <c r="F434" s="197"/>
      <c r="G434" s="197"/>
      <c r="H434" s="197"/>
      <c r="I434" s="197"/>
      <c r="J434" s="197"/>
      <c r="K434" s="197"/>
      <c r="L434" s="197"/>
      <c r="M434" s="197"/>
      <c r="N434" s="197"/>
      <c r="O434" s="197"/>
      <c r="P434" s="197"/>
      <c r="Q434" s="197"/>
      <c r="R434" s="197"/>
      <c r="S434" s="197"/>
      <c r="T434" s="197"/>
      <c r="U434" s="197"/>
      <c r="V434" s="197"/>
      <c r="W434" s="197"/>
      <c r="X434" s="197"/>
      <c r="Y434" s="197"/>
      <c r="Z434" s="197"/>
      <c r="AA434" s="197"/>
      <c r="AB434" s="197"/>
      <c r="AC434" s="197"/>
      <c r="AD434" s="197"/>
      <c r="AE434" s="197"/>
      <c r="AF434" s="197"/>
      <c r="AG434" s="197"/>
      <c r="AH434" s="197"/>
      <c r="AI434" s="197"/>
      <c r="AJ434" s="197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  <c r="BA434" s="31"/>
      <c r="BB434" s="31"/>
      <c r="BC434" s="31"/>
      <c r="BD434" s="31"/>
      <c r="BE434" s="31"/>
      <c r="BF434" s="31"/>
      <c r="BG434" s="31"/>
      <c r="BH434" s="31"/>
      <c r="BI434" s="31"/>
    </row>
    <row r="435" spans="2:61" x14ac:dyDescent="0.2">
      <c r="B435" s="197"/>
      <c r="C435" s="197"/>
      <c r="D435" s="197"/>
      <c r="E435" s="197"/>
      <c r="F435" s="197"/>
      <c r="G435" s="197"/>
      <c r="H435" s="197"/>
      <c r="I435" s="197"/>
      <c r="J435" s="197"/>
      <c r="K435" s="197"/>
      <c r="L435" s="197"/>
      <c r="M435" s="197"/>
      <c r="N435" s="197"/>
      <c r="O435" s="197"/>
      <c r="P435" s="197"/>
      <c r="Q435" s="197"/>
      <c r="R435" s="197"/>
      <c r="S435" s="197"/>
      <c r="T435" s="197"/>
      <c r="U435" s="197"/>
      <c r="V435" s="197"/>
      <c r="W435" s="197"/>
      <c r="X435" s="197"/>
      <c r="Y435" s="197"/>
      <c r="Z435" s="197"/>
      <c r="AA435" s="197"/>
      <c r="AB435" s="197"/>
      <c r="AC435" s="197"/>
      <c r="AD435" s="197"/>
      <c r="AE435" s="197"/>
      <c r="AF435" s="197"/>
      <c r="AG435" s="197"/>
      <c r="AH435" s="197"/>
      <c r="AI435" s="197"/>
      <c r="AJ435" s="197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  <c r="BA435" s="31"/>
      <c r="BB435" s="31"/>
      <c r="BC435" s="31"/>
      <c r="BD435" s="31"/>
      <c r="BE435" s="31"/>
      <c r="BF435" s="31"/>
      <c r="BG435" s="31"/>
      <c r="BH435" s="31"/>
      <c r="BI435" s="31"/>
    </row>
    <row r="436" spans="2:61" x14ac:dyDescent="0.2">
      <c r="B436" s="197"/>
      <c r="C436" s="197"/>
      <c r="D436" s="197"/>
      <c r="E436" s="197"/>
      <c r="F436" s="197"/>
      <c r="G436" s="197"/>
      <c r="H436" s="197"/>
      <c r="I436" s="197"/>
      <c r="J436" s="197"/>
      <c r="K436" s="197"/>
      <c r="L436" s="197"/>
      <c r="M436" s="197"/>
      <c r="N436" s="197"/>
      <c r="O436" s="197"/>
      <c r="P436" s="197"/>
      <c r="Q436" s="197"/>
      <c r="R436" s="197"/>
      <c r="S436" s="197"/>
      <c r="T436" s="197"/>
      <c r="U436" s="197"/>
      <c r="V436" s="197"/>
      <c r="W436" s="197"/>
      <c r="X436" s="197"/>
      <c r="Y436" s="197"/>
      <c r="Z436" s="197"/>
      <c r="AA436" s="197"/>
      <c r="AB436" s="197"/>
      <c r="AC436" s="197"/>
      <c r="AD436" s="197"/>
      <c r="AE436" s="197"/>
      <c r="AF436" s="197"/>
      <c r="AG436" s="197"/>
      <c r="AH436" s="197"/>
      <c r="AI436" s="197"/>
      <c r="AJ436" s="197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  <c r="AZ436" s="31"/>
      <c r="BA436" s="31"/>
      <c r="BB436" s="31"/>
      <c r="BC436" s="31"/>
      <c r="BD436" s="31"/>
      <c r="BE436" s="31"/>
      <c r="BF436" s="31"/>
      <c r="BG436" s="31"/>
      <c r="BH436" s="31"/>
      <c r="BI436" s="31"/>
    </row>
    <row r="437" spans="2:61" x14ac:dyDescent="0.2">
      <c r="B437" s="197"/>
      <c r="C437" s="197"/>
      <c r="D437" s="197"/>
      <c r="E437" s="197"/>
      <c r="F437" s="197"/>
      <c r="G437" s="197"/>
      <c r="H437" s="197"/>
      <c r="I437" s="197"/>
      <c r="J437" s="197"/>
      <c r="K437" s="197"/>
      <c r="L437" s="197"/>
      <c r="M437" s="197"/>
      <c r="N437" s="197"/>
      <c r="O437" s="197"/>
      <c r="P437" s="197"/>
      <c r="Q437" s="197"/>
      <c r="R437" s="197"/>
      <c r="S437" s="197"/>
      <c r="T437" s="197"/>
      <c r="U437" s="197"/>
      <c r="V437" s="197"/>
      <c r="W437" s="197"/>
      <c r="X437" s="197"/>
      <c r="Y437" s="197"/>
      <c r="Z437" s="197"/>
      <c r="AA437" s="197"/>
      <c r="AB437" s="197"/>
      <c r="AC437" s="197"/>
      <c r="AD437" s="197"/>
      <c r="AE437" s="197"/>
      <c r="AF437" s="197"/>
      <c r="AG437" s="197"/>
      <c r="AH437" s="197"/>
      <c r="AI437" s="197"/>
      <c r="AJ437" s="197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  <c r="BA437" s="31"/>
      <c r="BB437" s="31"/>
      <c r="BC437" s="31"/>
      <c r="BD437" s="31"/>
      <c r="BE437" s="31"/>
      <c r="BF437" s="31"/>
      <c r="BG437" s="31"/>
      <c r="BH437" s="31"/>
      <c r="BI437" s="31"/>
    </row>
    <row r="438" spans="2:61" x14ac:dyDescent="0.2">
      <c r="B438" s="197"/>
      <c r="C438" s="197"/>
      <c r="D438" s="197"/>
      <c r="E438" s="197"/>
      <c r="F438" s="197"/>
      <c r="G438" s="197"/>
      <c r="H438" s="197"/>
      <c r="I438" s="197"/>
      <c r="J438" s="197"/>
      <c r="K438" s="197"/>
      <c r="L438" s="197"/>
      <c r="M438" s="197"/>
      <c r="N438" s="197"/>
      <c r="O438" s="197"/>
      <c r="P438" s="197"/>
      <c r="Q438" s="197"/>
      <c r="R438" s="197"/>
      <c r="S438" s="197"/>
      <c r="T438" s="197"/>
      <c r="U438" s="197"/>
      <c r="V438" s="197"/>
      <c r="W438" s="197"/>
      <c r="X438" s="197"/>
      <c r="Y438" s="197"/>
      <c r="Z438" s="197"/>
      <c r="AA438" s="197"/>
      <c r="AB438" s="197"/>
      <c r="AC438" s="197"/>
      <c r="AD438" s="197"/>
      <c r="AE438" s="197"/>
      <c r="AF438" s="197"/>
      <c r="AG438" s="197"/>
      <c r="AH438" s="197"/>
      <c r="AI438" s="197"/>
      <c r="AJ438" s="197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  <c r="AZ438" s="31"/>
      <c r="BA438" s="31"/>
      <c r="BB438" s="31"/>
      <c r="BC438" s="31"/>
      <c r="BD438" s="31"/>
      <c r="BE438" s="31"/>
      <c r="BF438" s="31"/>
      <c r="BG438" s="31"/>
      <c r="BH438" s="31"/>
      <c r="BI438" s="31"/>
    </row>
    <row r="439" spans="2:61" x14ac:dyDescent="0.2">
      <c r="B439" s="197"/>
      <c r="C439" s="197"/>
      <c r="D439" s="197"/>
      <c r="E439" s="197"/>
      <c r="F439" s="197"/>
      <c r="G439" s="197"/>
      <c r="H439" s="197"/>
      <c r="I439" s="197"/>
      <c r="J439" s="197"/>
      <c r="K439" s="197"/>
      <c r="L439" s="197"/>
      <c r="M439" s="197"/>
      <c r="N439" s="197"/>
      <c r="O439" s="197"/>
      <c r="P439" s="197"/>
      <c r="Q439" s="197"/>
      <c r="R439" s="197"/>
      <c r="S439" s="197"/>
      <c r="T439" s="197"/>
      <c r="U439" s="197"/>
      <c r="V439" s="197"/>
      <c r="W439" s="197"/>
      <c r="X439" s="197"/>
      <c r="Y439" s="197"/>
      <c r="Z439" s="197"/>
      <c r="AA439" s="197"/>
      <c r="AB439" s="197"/>
      <c r="AC439" s="197"/>
      <c r="AD439" s="197"/>
      <c r="AE439" s="197"/>
      <c r="AF439" s="197"/>
      <c r="AG439" s="197"/>
      <c r="AH439" s="197"/>
      <c r="AI439" s="197"/>
      <c r="AJ439" s="197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  <c r="AZ439" s="31"/>
      <c r="BA439" s="31"/>
      <c r="BB439" s="31"/>
      <c r="BC439" s="31"/>
      <c r="BD439" s="31"/>
      <c r="BE439" s="31"/>
      <c r="BF439" s="31"/>
      <c r="BG439" s="31"/>
      <c r="BH439" s="31"/>
      <c r="BI439" s="31"/>
    </row>
    <row r="440" spans="2:61" x14ac:dyDescent="0.2">
      <c r="B440" s="197"/>
      <c r="C440" s="197"/>
      <c r="D440" s="197"/>
      <c r="E440" s="197"/>
      <c r="F440" s="197"/>
      <c r="G440" s="197"/>
      <c r="H440" s="197"/>
      <c r="I440" s="197"/>
      <c r="J440" s="197"/>
      <c r="K440" s="197"/>
      <c r="L440" s="197"/>
      <c r="M440" s="197"/>
      <c r="N440" s="197"/>
      <c r="O440" s="197"/>
      <c r="P440" s="197"/>
      <c r="Q440" s="197"/>
      <c r="R440" s="197"/>
      <c r="S440" s="197"/>
      <c r="T440" s="197"/>
      <c r="U440" s="197"/>
      <c r="V440" s="197"/>
      <c r="W440" s="197"/>
      <c r="X440" s="197"/>
      <c r="Y440" s="197"/>
      <c r="Z440" s="197"/>
      <c r="AA440" s="197"/>
      <c r="AB440" s="197"/>
      <c r="AC440" s="197"/>
      <c r="AD440" s="197"/>
      <c r="AE440" s="197"/>
      <c r="AF440" s="197"/>
      <c r="AG440" s="197"/>
      <c r="AH440" s="197"/>
      <c r="AI440" s="197"/>
      <c r="AJ440" s="197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  <c r="BA440" s="31"/>
      <c r="BB440" s="31"/>
      <c r="BC440" s="31"/>
      <c r="BD440" s="31"/>
      <c r="BE440" s="31"/>
      <c r="BF440" s="31"/>
      <c r="BG440" s="31"/>
      <c r="BH440" s="31"/>
      <c r="BI440" s="31"/>
    </row>
    <row r="441" spans="2:61" x14ac:dyDescent="0.2">
      <c r="B441" s="197"/>
      <c r="C441" s="197"/>
      <c r="D441" s="197"/>
      <c r="E441" s="197"/>
      <c r="F441" s="197"/>
      <c r="G441" s="197"/>
      <c r="H441" s="197"/>
      <c r="I441" s="197"/>
      <c r="J441" s="197"/>
      <c r="K441" s="197"/>
      <c r="L441" s="197"/>
      <c r="M441" s="197"/>
      <c r="N441" s="197"/>
      <c r="O441" s="197"/>
      <c r="P441" s="197"/>
      <c r="Q441" s="197"/>
      <c r="R441" s="197"/>
      <c r="S441" s="197"/>
      <c r="T441" s="197"/>
      <c r="U441" s="197"/>
      <c r="V441" s="197"/>
      <c r="W441" s="197"/>
      <c r="X441" s="197"/>
      <c r="Y441" s="197"/>
      <c r="Z441" s="197"/>
      <c r="AA441" s="197"/>
      <c r="AB441" s="197"/>
      <c r="AC441" s="197"/>
      <c r="AD441" s="197"/>
      <c r="AE441" s="197"/>
      <c r="AF441" s="197"/>
      <c r="AG441" s="197"/>
      <c r="AH441" s="197"/>
      <c r="AI441" s="197"/>
      <c r="AJ441" s="197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  <c r="AZ441" s="31"/>
      <c r="BA441" s="31"/>
      <c r="BB441" s="31"/>
      <c r="BC441" s="31"/>
      <c r="BD441" s="31"/>
      <c r="BE441" s="31"/>
      <c r="BF441" s="31"/>
      <c r="BG441" s="31"/>
      <c r="BH441" s="31"/>
      <c r="BI441" s="31"/>
    </row>
    <row r="442" spans="2:61" x14ac:dyDescent="0.2">
      <c r="B442" s="197"/>
      <c r="C442" s="197"/>
      <c r="D442" s="197"/>
      <c r="E442" s="197"/>
      <c r="F442" s="197"/>
      <c r="G442" s="197"/>
      <c r="H442" s="197"/>
      <c r="I442" s="197"/>
      <c r="J442" s="197"/>
      <c r="K442" s="197"/>
      <c r="L442" s="197"/>
      <c r="M442" s="197"/>
      <c r="N442" s="197"/>
      <c r="O442" s="197"/>
      <c r="P442" s="197"/>
      <c r="Q442" s="197"/>
      <c r="R442" s="197"/>
      <c r="S442" s="197"/>
      <c r="T442" s="197"/>
      <c r="U442" s="197"/>
      <c r="V442" s="197"/>
      <c r="W442" s="197"/>
      <c r="X442" s="197"/>
      <c r="Y442" s="197"/>
      <c r="Z442" s="197"/>
      <c r="AA442" s="197"/>
      <c r="AB442" s="197"/>
      <c r="AC442" s="197"/>
      <c r="AD442" s="197"/>
      <c r="AE442" s="197"/>
      <c r="AF442" s="197"/>
      <c r="AG442" s="197"/>
      <c r="AH442" s="197"/>
      <c r="AI442" s="197"/>
      <c r="AJ442" s="197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  <c r="AZ442" s="31"/>
      <c r="BA442" s="31"/>
      <c r="BB442" s="31"/>
      <c r="BC442" s="31"/>
      <c r="BD442" s="31"/>
      <c r="BE442" s="31"/>
      <c r="BF442" s="31"/>
      <c r="BG442" s="31"/>
      <c r="BH442" s="31"/>
      <c r="BI442" s="31"/>
    </row>
    <row r="443" spans="2:61" x14ac:dyDescent="0.2">
      <c r="B443" s="197"/>
      <c r="C443" s="197"/>
      <c r="D443" s="197"/>
      <c r="E443" s="197"/>
      <c r="F443" s="197"/>
      <c r="G443" s="197"/>
      <c r="H443" s="197"/>
      <c r="I443" s="197"/>
      <c r="J443" s="197"/>
      <c r="K443" s="197"/>
      <c r="L443" s="197"/>
      <c r="M443" s="197"/>
      <c r="N443" s="197"/>
      <c r="O443" s="197"/>
      <c r="P443" s="197"/>
      <c r="Q443" s="197"/>
      <c r="R443" s="197"/>
      <c r="S443" s="197"/>
      <c r="T443" s="197"/>
      <c r="U443" s="197"/>
      <c r="V443" s="197"/>
      <c r="W443" s="197"/>
      <c r="X443" s="197"/>
      <c r="Y443" s="197"/>
      <c r="Z443" s="197"/>
      <c r="AA443" s="197"/>
      <c r="AB443" s="197"/>
      <c r="AC443" s="197"/>
      <c r="AD443" s="197"/>
      <c r="AE443" s="197"/>
      <c r="AF443" s="197"/>
      <c r="AG443" s="197"/>
      <c r="AH443" s="197"/>
      <c r="AI443" s="197"/>
      <c r="AJ443" s="197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  <c r="BA443" s="31"/>
      <c r="BB443" s="31"/>
      <c r="BC443" s="31"/>
      <c r="BD443" s="31"/>
      <c r="BE443" s="31"/>
      <c r="BF443" s="31"/>
      <c r="BG443" s="31"/>
      <c r="BH443" s="31"/>
      <c r="BI443" s="31"/>
    </row>
    <row r="444" spans="2:61" x14ac:dyDescent="0.2">
      <c r="B444" s="197"/>
      <c r="C444" s="197"/>
      <c r="D444" s="197"/>
      <c r="E444" s="197"/>
      <c r="F444" s="197"/>
      <c r="G444" s="197"/>
      <c r="H444" s="197"/>
      <c r="I444" s="197"/>
      <c r="J444" s="197"/>
      <c r="K444" s="197"/>
      <c r="L444" s="197"/>
      <c r="M444" s="197"/>
      <c r="N444" s="197"/>
      <c r="O444" s="197"/>
      <c r="P444" s="197"/>
      <c r="Q444" s="197"/>
      <c r="R444" s="197"/>
      <c r="S444" s="197"/>
      <c r="T444" s="197"/>
      <c r="U444" s="197"/>
      <c r="V444" s="197"/>
      <c r="W444" s="197"/>
      <c r="X444" s="197"/>
      <c r="Y444" s="197"/>
      <c r="Z444" s="197"/>
      <c r="AA444" s="197"/>
      <c r="AB444" s="197"/>
      <c r="AC444" s="197"/>
      <c r="AD444" s="197"/>
      <c r="AE444" s="197"/>
      <c r="AF444" s="197"/>
      <c r="AG444" s="197"/>
      <c r="AH444" s="197"/>
      <c r="AI444" s="197"/>
      <c r="AJ444" s="197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  <c r="AZ444" s="31"/>
      <c r="BA444" s="31"/>
      <c r="BB444" s="31"/>
      <c r="BC444" s="31"/>
      <c r="BD444" s="31"/>
      <c r="BE444" s="31"/>
      <c r="BF444" s="31"/>
      <c r="BG444" s="31"/>
      <c r="BH444" s="31"/>
      <c r="BI444" s="31"/>
    </row>
    <row r="445" spans="2:61" x14ac:dyDescent="0.2"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  <c r="BA445" s="31"/>
      <c r="BB445" s="31"/>
      <c r="BC445" s="31"/>
      <c r="BD445" s="31"/>
      <c r="BE445" s="31"/>
      <c r="BF445" s="31"/>
      <c r="BG445" s="31"/>
      <c r="BH445" s="31"/>
      <c r="BI445" s="31"/>
    </row>
    <row r="446" spans="2:61" x14ac:dyDescent="0.2"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/>
      <c r="AX446" s="31"/>
      <c r="AY446" s="31"/>
      <c r="AZ446" s="31"/>
      <c r="BA446" s="31"/>
      <c r="BB446" s="31"/>
      <c r="BC446" s="31"/>
      <c r="BD446" s="31"/>
      <c r="BE446" s="31"/>
      <c r="BF446" s="31"/>
      <c r="BG446" s="31"/>
      <c r="BH446" s="31"/>
      <c r="BI446" s="31"/>
    </row>
    <row r="447" spans="2:61" x14ac:dyDescent="0.2"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/>
      <c r="AX447" s="31"/>
      <c r="AY447" s="31"/>
      <c r="AZ447" s="31"/>
      <c r="BA447" s="31"/>
      <c r="BB447" s="31"/>
      <c r="BC447" s="31"/>
      <c r="BD447" s="31"/>
      <c r="BE447" s="31"/>
      <c r="BF447" s="31"/>
      <c r="BG447" s="31"/>
      <c r="BH447" s="31"/>
      <c r="BI447" s="31"/>
    </row>
    <row r="448" spans="2:61" x14ac:dyDescent="0.2"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/>
      <c r="AX448" s="31"/>
      <c r="AY448" s="31"/>
      <c r="AZ448" s="31"/>
      <c r="BA448" s="31"/>
      <c r="BB448" s="31"/>
      <c r="BC448" s="31"/>
      <c r="BD448" s="31"/>
      <c r="BE448" s="31"/>
      <c r="BF448" s="31"/>
      <c r="BG448" s="31"/>
      <c r="BH448" s="31"/>
      <c r="BI448" s="31"/>
    </row>
    <row r="449" spans="38:61" x14ac:dyDescent="0.2"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/>
      <c r="AX449" s="31"/>
      <c r="AY449" s="31"/>
      <c r="AZ449" s="31"/>
      <c r="BA449" s="31"/>
      <c r="BB449" s="31"/>
      <c r="BC449" s="31"/>
      <c r="BD449" s="31"/>
      <c r="BE449" s="31"/>
      <c r="BF449" s="31"/>
      <c r="BG449" s="31"/>
      <c r="BH449" s="31"/>
      <c r="BI449" s="31"/>
    </row>
    <row r="450" spans="38:61" x14ac:dyDescent="0.2"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  <c r="AZ450" s="31"/>
      <c r="BA450" s="31"/>
      <c r="BB450" s="31"/>
      <c r="BC450" s="31"/>
      <c r="BD450" s="31"/>
      <c r="BE450" s="31"/>
      <c r="BF450" s="31"/>
      <c r="BG450" s="31"/>
      <c r="BH450" s="31"/>
      <c r="BI450" s="31"/>
    </row>
    <row r="451" spans="38:61" x14ac:dyDescent="0.2">
      <c r="AL451" s="31"/>
      <c r="AM451" s="31"/>
      <c r="AN451" s="31"/>
      <c r="AO451" s="31"/>
      <c r="AP451" s="31"/>
      <c r="AQ451" s="31"/>
      <c r="AR451" s="31"/>
      <c r="AS451" s="31"/>
      <c r="AT451" s="31"/>
      <c r="AU451" s="31"/>
      <c r="AV451" s="31"/>
      <c r="AW451" s="31"/>
      <c r="AX451" s="31"/>
      <c r="AY451" s="31"/>
      <c r="AZ451" s="31"/>
      <c r="BA451" s="31"/>
      <c r="BB451" s="31"/>
      <c r="BC451" s="31"/>
      <c r="BD451" s="31"/>
      <c r="BE451" s="31"/>
      <c r="BF451" s="31"/>
      <c r="BG451" s="31"/>
      <c r="BH451" s="31"/>
      <c r="BI451" s="31"/>
    </row>
    <row r="452" spans="38:61" x14ac:dyDescent="0.2"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/>
      <c r="AX452" s="31"/>
      <c r="AY452" s="31"/>
      <c r="AZ452" s="31"/>
      <c r="BA452" s="31"/>
      <c r="BB452" s="31"/>
      <c r="BC452" s="31"/>
      <c r="BD452" s="31"/>
      <c r="BE452" s="31"/>
      <c r="BF452" s="31"/>
      <c r="BG452" s="31"/>
      <c r="BH452" s="31"/>
      <c r="BI452" s="31"/>
    </row>
    <row r="453" spans="38:61" x14ac:dyDescent="0.2"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  <c r="AZ453" s="31"/>
      <c r="BA453" s="31"/>
      <c r="BB453" s="31"/>
      <c r="BC453" s="31"/>
      <c r="BD453" s="31"/>
      <c r="BE453" s="31"/>
      <c r="BF453" s="31"/>
      <c r="BG453" s="31"/>
      <c r="BH453" s="31"/>
      <c r="BI453" s="31"/>
    </row>
    <row r="454" spans="38:61" x14ac:dyDescent="0.2"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  <c r="BA454" s="31"/>
      <c r="BB454" s="31"/>
      <c r="BC454" s="31"/>
      <c r="BD454" s="31"/>
      <c r="BE454" s="31"/>
      <c r="BF454" s="31"/>
      <c r="BG454" s="31"/>
      <c r="BH454" s="31"/>
      <c r="BI454" s="31"/>
    </row>
    <row r="455" spans="38:61" x14ac:dyDescent="0.2"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  <c r="AZ455" s="31"/>
      <c r="BA455" s="31"/>
      <c r="BB455" s="31"/>
      <c r="BC455" s="31"/>
      <c r="BD455" s="31"/>
      <c r="BE455" s="31"/>
      <c r="BF455" s="31"/>
      <c r="BG455" s="31"/>
      <c r="BH455" s="31"/>
      <c r="BI455" s="31"/>
    </row>
    <row r="456" spans="38:61" x14ac:dyDescent="0.2"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/>
      <c r="AY456" s="31"/>
      <c r="AZ456" s="31"/>
      <c r="BA456" s="31"/>
      <c r="BB456" s="31"/>
      <c r="BC456" s="31"/>
      <c r="BD456" s="31"/>
      <c r="BE456" s="31"/>
      <c r="BF456" s="31"/>
      <c r="BG456" s="31"/>
      <c r="BH456" s="31"/>
      <c r="BI456" s="31"/>
    </row>
    <row r="457" spans="38:61" x14ac:dyDescent="0.2"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/>
      <c r="AX457" s="31"/>
      <c r="AY457" s="31"/>
      <c r="AZ457" s="31"/>
      <c r="BA457" s="31"/>
      <c r="BB457" s="31"/>
      <c r="BC457" s="31"/>
      <c r="BD457" s="31"/>
      <c r="BE457" s="31"/>
      <c r="BF457" s="31"/>
      <c r="BG457" s="31"/>
      <c r="BH457" s="31"/>
      <c r="BI457" s="31"/>
    </row>
    <row r="458" spans="38:61" x14ac:dyDescent="0.2"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/>
      <c r="AX458" s="31"/>
      <c r="AY458" s="31"/>
      <c r="AZ458" s="31"/>
      <c r="BA458" s="31"/>
      <c r="BB458" s="31"/>
      <c r="BC458" s="31"/>
      <c r="BD458" s="31"/>
      <c r="BE458" s="31"/>
      <c r="BF458" s="31"/>
      <c r="BG458" s="31"/>
      <c r="BH458" s="31"/>
      <c r="BI458" s="31"/>
    </row>
    <row r="459" spans="38:61" x14ac:dyDescent="0.2"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31"/>
      <c r="AW459" s="31"/>
      <c r="AX459" s="31"/>
      <c r="AY459" s="31"/>
      <c r="AZ459" s="31"/>
      <c r="BA459" s="31"/>
      <c r="BB459" s="31"/>
      <c r="BC459" s="31"/>
      <c r="BD459" s="31"/>
      <c r="BE459" s="31"/>
      <c r="BF459" s="31"/>
      <c r="BG459" s="31"/>
      <c r="BH459" s="31"/>
      <c r="BI459" s="31"/>
    </row>
    <row r="460" spans="38:61" x14ac:dyDescent="0.2"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/>
      <c r="AX460" s="31"/>
      <c r="AY460" s="31"/>
      <c r="AZ460" s="31"/>
      <c r="BA460" s="31"/>
      <c r="BB460" s="31"/>
      <c r="BC460" s="31"/>
      <c r="BD460" s="31"/>
      <c r="BE460" s="31"/>
      <c r="BF460" s="31"/>
      <c r="BG460" s="31"/>
      <c r="BH460" s="31"/>
      <c r="BI460" s="31"/>
    </row>
    <row r="461" spans="38:61" x14ac:dyDescent="0.2"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  <c r="AZ461" s="31"/>
      <c r="BA461" s="31"/>
      <c r="BB461" s="31"/>
      <c r="BC461" s="31"/>
      <c r="BD461" s="31"/>
      <c r="BE461" s="31"/>
      <c r="BF461" s="31"/>
      <c r="BG461" s="31"/>
      <c r="BH461" s="31"/>
      <c r="BI461" s="31"/>
    </row>
    <row r="462" spans="38:61" x14ac:dyDescent="0.2"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  <c r="BA462" s="31"/>
      <c r="BB462" s="31"/>
      <c r="BC462" s="31"/>
      <c r="BD462" s="31"/>
      <c r="BE462" s="31"/>
      <c r="BF462" s="31"/>
      <c r="BG462" s="31"/>
      <c r="BH462" s="31"/>
      <c r="BI462" s="31"/>
    </row>
    <row r="463" spans="38:61" x14ac:dyDescent="0.2"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/>
      <c r="AX463" s="31"/>
      <c r="AY463" s="31"/>
      <c r="AZ463" s="31"/>
      <c r="BA463" s="31"/>
      <c r="BB463" s="31"/>
      <c r="BC463" s="31"/>
      <c r="BD463" s="31"/>
      <c r="BE463" s="31"/>
      <c r="BF463" s="31"/>
      <c r="BG463" s="31"/>
      <c r="BH463" s="31"/>
      <c r="BI463" s="31"/>
    </row>
    <row r="464" spans="38:61" x14ac:dyDescent="0.2"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  <c r="BA464" s="31"/>
      <c r="BB464" s="31"/>
      <c r="BC464" s="31"/>
      <c r="BD464" s="31"/>
      <c r="BE464" s="31"/>
      <c r="BF464" s="31"/>
      <c r="BG464" s="31"/>
      <c r="BH464" s="31"/>
      <c r="BI464" s="31"/>
    </row>
    <row r="465" spans="38:61" x14ac:dyDescent="0.2"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/>
      <c r="AX465" s="31"/>
      <c r="AY465" s="31"/>
      <c r="AZ465" s="31"/>
      <c r="BA465" s="31"/>
      <c r="BB465" s="31"/>
      <c r="BC465" s="31"/>
      <c r="BD465" s="31"/>
      <c r="BE465" s="31"/>
      <c r="BF465" s="31"/>
      <c r="BG465" s="31"/>
      <c r="BH465" s="31"/>
      <c r="BI465" s="31"/>
    </row>
    <row r="466" spans="38:61" x14ac:dyDescent="0.2"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1"/>
      <c r="AX466" s="31"/>
      <c r="AY466" s="31"/>
      <c r="AZ466" s="31"/>
      <c r="BA466" s="31"/>
      <c r="BB466" s="31"/>
      <c r="BC466" s="31"/>
      <c r="BD466" s="31"/>
      <c r="BE466" s="31"/>
      <c r="BF466" s="31"/>
      <c r="BG466" s="31"/>
      <c r="BH466" s="31"/>
      <c r="BI466" s="31"/>
    </row>
    <row r="467" spans="38:61" x14ac:dyDescent="0.2"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1"/>
      <c r="AW467" s="31"/>
      <c r="AX467" s="31"/>
      <c r="AY467" s="31"/>
      <c r="AZ467" s="31"/>
      <c r="BA467" s="31"/>
      <c r="BB467" s="31"/>
      <c r="BC467" s="31"/>
      <c r="BD467" s="31"/>
      <c r="BE467" s="31"/>
      <c r="BF467" s="31"/>
      <c r="BG467" s="31"/>
      <c r="BH467" s="31"/>
      <c r="BI467" s="31"/>
    </row>
    <row r="468" spans="38:61" x14ac:dyDescent="0.2"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  <c r="BA468" s="31"/>
      <c r="BB468" s="31"/>
      <c r="BC468" s="31"/>
      <c r="BD468" s="31"/>
      <c r="BE468" s="31"/>
      <c r="BF468" s="31"/>
      <c r="BG468" s="31"/>
      <c r="BH468" s="31"/>
      <c r="BI468" s="31"/>
    </row>
    <row r="469" spans="38:61" x14ac:dyDescent="0.2"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  <c r="AZ469" s="31"/>
      <c r="BA469" s="31"/>
      <c r="BB469" s="31"/>
      <c r="BC469" s="31"/>
      <c r="BD469" s="31"/>
      <c r="BE469" s="31"/>
      <c r="BF469" s="31"/>
      <c r="BG469" s="31"/>
      <c r="BH469" s="31"/>
      <c r="BI469" s="31"/>
    </row>
    <row r="470" spans="38:61" x14ac:dyDescent="0.2"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  <c r="BA470" s="31"/>
      <c r="BB470" s="31"/>
      <c r="BC470" s="31"/>
      <c r="BD470" s="31"/>
      <c r="BE470" s="31"/>
      <c r="BF470" s="31"/>
      <c r="BG470" s="31"/>
      <c r="BH470" s="31"/>
      <c r="BI470" s="31"/>
    </row>
    <row r="471" spans="38:61" x14ac:dyDescent="0.2"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  <c r="AZ471" s="31"/>
      <c r="BA471" s="31"/>
      <c r="BB471" s="31"/>
      <c r="BC471" s="31"/>
      <c r="BD471" s="31"/>
      <c r="BE471" s="31"/>
      <c r="BF471" s="31"/>
      <c r="BG471" s="31"/>
      <c r="BH471" s="31"/>
      <c r="BI471" s="31"/>
    </row>
    <row r="472" spans="38:61" x14ac:dyDescent="0.2"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  <c r="BA472" s="31"/>
      <c r="BB472" s="31"/>
      <c r="BC472" s="31"/>
      <c r="BD472" s="31"/>
      <c r="BE472" s="31"/>
      <c r="BF472" s="31"/>
      <c r="BG472" s="31"/>
      <c r="BH472" s="31"/>
      <c r="BI472" s="31"/>
    </row>
    <row r="473" spans="38:61" x14ac:dyDescent="0.2"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  <c r="AZ473" s="31"/>
      <c r="BA473" s="31"/>
      <c r="BB473" s="31"/>
      <c r="BC473" s="31"/>
      <c r="BD473" s="31"/>
      <c r="BE473" s="31"/>
      <c r="BF473" s="31"/>
      <c r="BG473" s="31"/>
      <c r="BH473" s="31"/>
      <c r="BI473" s="31"/>
    </row>
    <row r="474" spans="38:61" x14ac:dyDescent="0.2"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  <c r="AZ474" s="31"/>
      <c r="BA474" s="31"/>
      <c r="BB474" s="31"/>
      <c r="BC474" s="31"/>
      <c r="BD474" s="31"/>
      <c r="BE474" s="31"/>
      <c r="BF474" s="31"/>
      <c r="BG474" s="31"/>
      <c r="BH474" s="31"/>
      <c r="BI474" s="31"/>
    </row>
    <row r="475" spans="38:61" x14ac:dyDescent="0.2"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/>
      <c r="AX475" s="31"/>
      <c r="AY475" s="31"/>
      <c r="AZ475" s="31"/>
      <c r="BA475" s="31"/>
      <c r="BB475" s="31"/>
      <c r="BC475" s="31"/>
      <c r="BD475" s="31"/>
      <c r="BE475" s="31"/>
      <c r="BF475" s="31"/>
      <c r="BG475" s="31"/>
      <c r="BH475" s="31"/>
      <c r="BI475" s="31"/>
    </row>
    <row r="476" spans="38:61" x14ac:dyDescent="0.2"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/>
      <c r="AY476" s="31"/>
      <c r="AZ476" s="31"/>
      <c r="BA476" s="31"/>
      <c r="BB476" s="31"/>
      <c r="BC476" s="31"/>
      <c r="BD476" s="31"/>
      <c r="BE476" s="31"/>
      <c r="BF476" s="31"/>
      <c r="BG476" s="31"/>
      <c r="BH476" s="31"/>
      <c r="BI476" s="31"/>
    </row>
    <row r="477" spans="38:61" x14ac:dyDescent="0.2"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1"/>
      <c r="AW477" s="31"/>
      <c r="AX477" s="31"/>
      <c r="AY477" s="31"/>
      <c r="AZ477" s="31"/>
      <c r="BA477" s="31"/>
      <c r="BB477" s="31"/>
      <c r="BC477" s="31"/>
      <c r="BD477" s="31"/>
      <c r="BE477" s="31"/>
      <c r="BF477" s="31"/>
      <c r="BG477" s="31"/>
      <c r="BH477" s="31"/>
      <c r="BI477" s="31"/>
    </row>
    <row r="478" spans="38:61" x14ac:dyDescent="0.2"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  <c r="BA478" s="31"/>
      <c r="BB478" s="31"/>
      <c r="BC478" s="31"/>
      <c r="BD478" s="31"/>
      <c r="BE478" s="31"/>
      <c r="BF478" s="31"/>
      <c r="BG478" s="31"/>
      <c r="BH478" s="31"/>
      <c r="BI478" s="31"/>
    </row>
    <row r="479" spans="38:61" x14ac:dyDescent="0.2"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  <c r="AZ479" s="31"/>
      <c r="BA479" s="31"/>
      <c r="BB479" s="31"/>
      <c r="BC479" s="31"/>
      <c r="BD479" s="31"/>
      <c r="BE479" s="31"/>
      <c r="BF479" s="31"/>
      <c r="BG479" s="31"/>
      <c r="BH479" s="31"/>
      <c r="BI479" s="31"/>
    </row>
    <row r="480" spans="38:61" x14ac:dyDescent="0.2"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  <c r="AZ480" s="31"/>
      <c r="BA480" s="31"/>
      <c r="BB480" s="31"/>
      <c r="BC480" s="31"/>
      <c r="BD480" s="31"/>
      <c r="BE480" s="31"/>
      <c r="BF480" s="31"/>
      <c r="BG480" s="31"/>
      <c r="BH480" s="31"/>
      <c r="BI480" s="31"/>
    </row>
    <row r="481" spans="38:61" x14ac:dyDescent="0.2"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/>
      <c r="AY481" s="31"/>
      <c r="AZ481" s="31"/>
      <c r="BA481" s="31"/>
      <c r="BB481" s="31"/>
      <c r="BC481" s="31"/>
      <c r="BD481" s="31"/>
      <c r="BE481" s="31"/>
      <c r="BF481" s="31"/>
      <c r="BG481" s="31"/>
      <c r="BH481" s="31"/>
      <c r="BI481" s="31"/>
    </row>
    <row r="482" spans="38:61" x14ac:dyDescent="0.2"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  <c r="AZ482" s="31"/>
      <c r="BA482" s="31"/>
      <c r="BB482" s="31"/>
      <c r="BC482" s="31"/>
      <c r="BD482" s="31"/>
      <c r="BE482" s="31"/>
      <c r="BF482" s="31"/>
      <c r="BG482" s="31"/>
      <c r="BH482" s="31"/>
      <c r="BI482" s="31"/>
    </row>
    <row r="483" spans="38:61" x14ac:dyDescent="0.2"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1"/>
      <c r="AX483" s="31"/>
      <c r="AY483" s="31"/>
      <c r="AZ483" s="31"/>
      <c r="BA483" s="31"/>
      <c r="BB483" s="31"/>
      <c r="BC483" s="31"/>
      <c r="BD483" s="31"/>
      <c r="BE483" s="31"/>
      <c r="BF483" s="31"/>
      <c r="BG483" s="31"/>
      <c r="BH483" s="31"/>
      <c r="BI483" s="31"/>
    </row>
    <row r="484" spans="38:61" x14ac:dyDescent="0.2"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  <c r="BA484" s="31"/>
      <c r="BB484" s="31"/>
      <c r="BC484" s="31"/>
      <c r="BD484" s="31"/>
      <c r="BE484" s="31"/>
      <c r="BF484" s="31"/>
      <c r="BG484" s="31"/>
      <c r="BH484" s="31"/>
      <c r="BI484" s="31"/>
    </row>
    <row r="485" spans="38:61" x14ac:dyDescent="0.2"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/>
      <c r="AX485" s="31"/>
      <c r="AY485" s="31"/>
      <c r="AZ485" s="31"/>
      <c r="BA485" s="31"/>
      <c r="BB485" s="31"/>
      <c r="BC485" s="31"/>
      <c r="BD485" s="31"/>
      <c r="BE485" s="31"/>
      <c r="BF485" s="31"/>
      <c r="BG485" s="31"/>
      <c r="BH485" s="31"/>
      <c r="BI485" s="31"/>
    </row>
    <row r="486" spans="38:61" x14ac:dyDescent="0.2"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/>
      <c r="AX486" s="31"/>
      <c r="AY486" s="31"/>
      <c r="AZ486" s="31"/>
      <c r="BA486" s="31"/>
      <c r="BB486" s="31"/>
      <c r="BC486" s="31"/>
      <c r="BD486" s="31"/>
      <c r="BE486" s="31"/>
      <c r="BF486" s="31"/>
      <c r="BG486" s="31"/>
      <c r="BH486" s="31"/>
      <c r="BI486" s="31"/>
    </row>
    <row r="487" spans="38:61" x14ac:dyDescent="0.2"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  <c r="AZ487" s="31"/>
      <c r="BA487" s="31"/>
      <c r="BB487" s="31"/>
      <c r="BC487" s="31"/>
      <c r="BD487" s="31"/>
      <c r="BE487" s="31"/>
      <c r="BF487" s="31"/>
      <c r="BG487" s="31"/>
      <c r="BH487" s="31"/>
      <c r="BI487" s="31"/>
    </row>
    <row r="488" spans="38:61" x14ac:dyDescent="0.2"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1"/>
      <c r="AX488" s="31"/>
      <c r="AY488" s="31"/>
      <c r="AZ488" s="31"/>
      <c r="BA488" s="31"/>
      <c r="BB488" s="31"/>
      <c r="BC488" s="31"/>
      <c r="BD488" s="31"/>
      <c r="BE488" s="31"/>
      <c r="BF488" s="31"/>
      <c r="BG488" s="31"/>
      <c r="BH488" s="31"/>
      <c r="BI488" s="31"/>
    </row>
    <row r="489" spans="38:61" x14ac:dyDescent="0.2"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1"/>
      <c r="AW489" s="31"/>
      <c r="AX489" s="31"/>
      <c r="AY489" s="31"/>
      <c r="AZ489" s="31"/>
      <c r="BA489" s="31"/>
      <c r="BB489" s="31"/>
      <c r="BC489" s="31"/>
      <c r="BD489" s="31"/>
      <c r="BE489" s="31"/>
      <c r="BF489" s="31"/>
      <c r="BG489" s="31"/>
      <c r="BH489" s="31"/>
      <c r="BI489" s="31"/>
    </row>
    <row r="490" spans="38:61" x14ac:dyDescent="0.2"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  <c r="AZ490" s="31"/>
      <c r="BA490" s="31"/>
      <c r="BB490" s="31"/>
      <c r="BC490" s="31"/>
      <c r="BD490" s="31"/>
      <c r="BE490" s="31"/>
      <c r="BF490" s="31"/>
      <c r="BG490" s="31"/>
      <c r="BH490" s="31"/>
      <c r="BI490" s="31"/>
    </row>
    <row r="491" spans="38:61" x14ac:dyDescent="0.2"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/>
      <c r="AX491" s="31"/>
      <c r="AY491" s="31"/>
      <c r="AZ491" s="31"/>
      <c r="BA491" s="31"/>
      <c r="BB491" s="31"/>
      <c r="BC491" s="31"/>
      <c r="BD491" s="31"/>
      <c r="BE491" s="31"/>
      <c r="BF491" s="31"/>
      <c r="BG491" s="31"/>
      <c r="BH491" s="31"/>
      <c r="BI491" s="31"/>
    </row>
    <row r="492" spans="38:61" x14ac:dyDescent="0.2"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/>
      <c r="AX492" s="31"/>
      <c r="AY492" s="31"/>
      <c r="AZ492" s="31"/>
      <c r="BA492" s="31"/>
      <c r="BB492" s="31"/>
      <c r="BC492" s="31"/>
      <c r="BD492" s="31"/>
      <c r="BE492" s="31"/>
      <c r="BF492" s="31"/>
      <c r="BG492" s="31"/>
      <c r="BH492" s="31"/>
      <c r="BI492" s="31"/>
    </row>
    <row r="493" spans="38:61" x14ac:dyDescent="0.2"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/>
      <c r="AX493" s="31"/>
      <c r="AY493" s="31"/>
      <c r="AZ493" s="31"/>
      <c r="BA493" s="31"/>
      <c r="BB493" s="31"/>
      <c r="BC493" s="31"/>
      <c r="BD493" s="31"/>
      <c r="BE493" s="31"/>
      <c r="BF493" s="31"/>
      <c r="BG493" s="31"/>
      <c r="BH493" s="31"/>
      <c r="BI493" s="31"/>
    </row>
    <row r="494" spans="38:61" x14ac:dyDescent="0.2"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/>
      <c r="AX494" s="31"/>
      <c r="AY494" s="31"/>
      <c r="AZ494" s="31"/>
      <c r="BA494" s="31"/>
      <c r="BB494" s="31"/>
      <c r="BC494" s="31"/>
      <c r="BD494" s="31"/>
      <c r="BE494" s="31"/>
      <c r="BF494" s="31"/>
      <c r="BG494" s="31"/>
      <c r="BH494" s="31"/>
      <c r="BI494" s="31"/>
    </row>
    <row r="495" spans="38:61" x14ac:dyDescent="0.2"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31"/>
      <c r="AW495" s="31"/>
      <c r="AX495" s="31"/>
      <c r="AY495" s="31"/>
      <c r="AZ495" s="31"/>
      <c r="BA495" s="31"/>
      <c r="BB495" s="31"/>
      <c r="BC495" s="31"/>
      <c r="BD495" s="31"/>
      <c r="BE495" s="31"/>
      <c r="BF495" s="31"/>
      <c r="BG495" s="31"/>
      <c r="BH495" s="31"/>
      <c r="BI495" s="31"/>
    </row>
    <row r="496" spans="38:61" x14ac:dyDescent="0.2"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31"/>
      <c r="AW496" s="31"/>
      <c r="AX496" s="31"/>
      <c r="AY496" s="31"/>
      <c r="AZ496" s="31"/>
      <c r="BA496" s="31"/>
      <c r="BB496" s="31"/>
      <c r="BC496" s="31"/>
      <c r="BD496" s="31"/>
      <c r="BE496" s="31"/>
      <c r="BF496" s="31"/>
      <c r="BG496" s="31"/>
      <c r="BH496" s="31"/>
      <c r="BI496" s="31"/>
    </row>
    <row r="497" spans="38:61" x14ac:dyDescent="0.2"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/>
      <c r="AX497" s="31"/>
      <c r="AY497" s="31"/>
      <c r="AZ497" s="31"/>
      <c r="BA497" s="31"/>
      <c r="BB497" s="31"/>
      <c r="BC497" s="31"/>
      <c r="BD497" s="31"/>
      <c r="BE497" s="31"/>
      <c r="BF497" s="31"/>
      <c r="BG497" s="31"/>
      <c r="BH497" s="31"/>
      <c r="BI497" s="31"/>
    </row>
    <row r="498" spans="38:61" x14ac:dyDescent="0.2"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/>
      <c r="AX498" s="31"/>
      <c r="AY498" s="31"/>
      <c r="AZ498" s="31"/>
      <c r="BA498" s="31"/>
      <c r="BB498" s="31"/>
      <c r="BC498" s="31"/>
      <c r="BD498" s="31"/>
      <c r="BE498" s="31"/>
      <c r="BF498" s="31"/>
      <c r="BG498" s="31"/>
      <c r="BH498" s="31"/>
      <c r="BI498" s="31"/>
    </row>
    <row r="499" spans="38:61" x14ac:dyDescent="0.2"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/>
      <c r="AX499" s="31"/>
      <c r="AY499" s="31"/>
      <c r="AZ499" s="31"/>
      <c r="BA499" s="31"/>
      <c r="BB499" s="31"/>
      <c r="BC499" s="31"/>
      <c r="BD499" s="31"/>
      <c r="BE499" s="31"/>
      <c r="BF499" s="31"/>
      <c r="BG499" s="31"/>
      <c r="BH499" s="31"/>
      <c r="BI499" s="31"/>
    </row>
    <row r="500" spans="38:61" x14ac:dyDescent="0.2"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  <c r="BA500" s="31"/>
      <c r="BB500" s="31"/>
      <c r="BC500" s="31"/>
      <c r="BD500" s="31"/>
      <c r="BE500" s="31"/>
      <c r="BF500" s="31"/>
      <c r="BG500" s="31"/>
      <c r="BH500" s="31"/>
      <c r="BI500" s="31"/>
    </row>
    <row r="501" spans="38:61" x14ac:dyDescent="0.2"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  <c r="AZ501" s="31"/>
      <c r="BA501" s="31"/>
      <c r="BB501" s="31"/>
      <c r="BC501" s="31"/>
      <c r="BD501" s="31"/>
      <c r="BE501" s="31"/>
      <c r="BF501" s="31"/>
      <c r="BG501" s="31"/>
      <c r="BH501" s="31"/>
      <c r="BI501" s="31"/>
    </row>
    <row r="502" spans="38:61" x14ac:dyDescent="0.2"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/>
      <c r="AX502" s="31"/>
      <c r="AY502" s="31"/>
      <c r="AZ502" s="31"/>
      <c r="BA502" s="31"/>
      <c r="BB502" s="31"/>
      <c r="BC502" s="31"/>
      <c r="BD502" s="31"/>
      <c r="BE502" s="31"/>
      <c r="BF502" s="31"/>
      <c r="BG502" s="31"/>
      <c r="BH502" s="31"/>
      <c r="BI502" s="31"/>
    </row>
    <row r="503" spans="38:61" x14ac:dyDescent="0.2"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1"/>
      <c r="AW503" s="31"/>
      <c r="AX503" s="31"/>
      <c r="AY503" s="31"/>
      <c r="AZ503" s="31"/>
      <c r="BA503" s="31"/>
      <c r="BB503" s="31"/>
      <c r="BC503" s="31"/>
      <c r="BD503" s="31"/>
      <c r="BE503" s="31"/>
      <c r="BF503" s="31"/>
      <c r="BG503" s="31"/>
      <c r="BH503" s="31"/>
      <c r="BI503" s="31"/>
    </row>
    <row r="504" spans="38:61" x14ac:dyDescent="0.2">
      <c r="AL504" s="31"/>
      <c r="AM504" s="31"/>
      <c r="AN504" s="31"/>
      <c r="AO504" s="31"/>
      <c r="AP504" s="31"/>
      <c r="AQ504" s="31"/>
      <c r="AR504" s="31"/>
      <c r="AS504" s="31"/>
      <c r="AT504" s="31"/>
      <c r="AU504" s="31"/>
      <c r="AV504" s="31"/>
      <c r="AW504" s="31"/>
      <c r="AX504" s="31"/>
      <c r="AY504" s="31"/>
      <c r="AZ504" s="31"/>
      <c r="BA504" s="31"/>
      <c r="BB504" s="31"/>
      <c r="BC504" s="31"/>
      <c r="BD504" s="31"/>
      <c r="BE504" s="31"/>
      <c r="BF504" s="31"/>
      <c r="BG504" s="31"/>
      <c r="BH504" s="31"/>
      <c r="BI504" s="31"/>
    </row>
    <row r="505" spans="38:61" x14ac:dyDescent="0.2"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  <c r="AZ505" s="31"/>
      <c r="BA505" s="31"/>
      <c r="BB505" s="31"/>
      <c r="BC505" s="31"/>
      <c r="BD505" s="31"/>
      <c r="BE505" s="31"/>
      <c r="BF505" s="31"/>
      <c r="BG505" s="31"/>
      <c r="BH505" s="31"/>
      <c r="BI505" s="31"/>
    </row>
    <row r="506" spans="38:61" x14ac:dyDescent="0.2"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1"/>
      <c r="AX506" s="31"/>
      <c r="AY506" s="31"/>
      <c r="AZ506" s="31"/>
      <c r="BA506" s="31"/>
      <c r="BB506" s="31"/>
      <c r="BC506" s="31"/>
      <c r="BD506" s="31"/>
      <c r="BE506" s="31"/>
      <c r="BF506" s="31"/>
      <c r="BG506" s="31"/>
      <c r="BH506" s="31"/>
      <c r="BI506" s="31"/>
    </row>
    <row r="507" spans="38:61" x14ac:dyDescent="0.2"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1"/>
      <c r="AX507" s="31"/>
      <c r="AY507" s="31"/>
      <c r="AZ507" s="31"/>
      <c r="BA507" s="31"/>
      <c r="BB507" s="31"/>
      <c r="BC507" s="31"/>
      <c r="BD507" s="31"/>
      <c r="BE507" s="31"/>
      <c r="BF507" s="31"/>
      <c r="BG507" s="31"/>
      <c r="BH507" s="31"/>
      <c r="BI507" s="31"/>
    </row>
    <row r="508" spans="38:61" x14ac:dyDescent="0.2"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  <c r="AZ508" s="31"/>
      <c r="BA508" s="31"/>
      <c r="BB508" s="31"/>
      <c r="BC508" s="31"/>
      <c r="BD508" s="31"/>
      <c r="BE508" s="31"/>
      <c r="BF508" s="31"/>
      <c r="BG508" s="31"/>
      <c r="BH508" s="31"/>
      <c r="BI508" s="31"/>
    </row>
    <row r="509" spans="38:61" x14ac:dyDescent="0.2">
      <c r="AL509" s="31"/>
      <c r="AM509" s="31"/>
      <c r="AN509" s="31"/>
      <c r="AO509" s="31"/>
      <c r="AP509" s="31"/>
      <c r="AQ509" s="31"/>
      <c r="AR509" s="31"/>
      <c r="AS509" s="31"/>
      <c r="AT509" s="31"/>
      <c r="AU509" s="31"/>
      <c r="AV509" s="31"/>
      <c r="AW509" s="31"/>
      <c r="AX509" s="31"/>
      <c r="AY509" s="31"/>
      <c r="AZ509" s="31"/>
      <c r="BA509" s="31"/>
      <c r="BB509" s="31"/>
      <c r="BC509" s="31"/>
      <c r="BD509" s="31"/>
      <c r="BE509" s="31"/>
      <c r="BF509" s="31"/>
      <c r="BG509" s="31"/>
      <c r="BH509" s="31"/>
      <c r="BI509" s="31"/>
    </row>
    <row r="510" spans="38:61" x14ac:dyDescent="0.2">
      <c r="AL510" s="31"/>
      <c r="AM510" s="31"/>
      <c r="AN510" s="31"/>
      <c r="AO510" s="31"/>
      <c r="AP510" s="31"/>
      <c r="AQ510" s="31"/>
      <c r="AR510" s="31"/>
      <c r="AS510" s="31"/>
      <c r="AT510" s="31"/>
      <c r="AU510" s="31"/>
      <c r="AV510" s="31"/>
      <c r="AW510" s="31"/>
      <c r="AX510" s="31"/>
      <c r="AY510" s="31"/>
      <c r="AZ510" s="31"/>
      <c r="BA510" s="31"/>
      <c r="BB510" s="31"/>
      <c r="BC510" s="31"/>
      <c r="BD510" s="31"/>
      <c r="BE510" s="31"/>
      <c r="BF510" s="31"/>
      <c r="BG510" s="31"/>
      <c r="BH510" s="31"/>
      <c r="BI510" s="31"/>
    </row>
    <row r="511" spans="38:61" x14ac:dyDescent="0.2">
      <c r="AL511" s="31"/>
      <c r="AM511" s="31"/>
      <c r="AN511" s="31"/>
      <c r="AO511" s="31"/>
      <c r="AP511" s="31"/>
      <c r="AQ511" s="31"/>
      <c r="AR511" s="31"/>
      <c r="AS511" s="31"/>
      <c r="AT511" s="31"/>
      <c r="AU511" s="31"/>
      <c r="AV511" s="31"/>
      <c r="AW511" s="31"/>
      <c r="AX511" s="31"/>
      <c r="AY511" s="31"/>
      <c r="AZ511" s="31"/>
      <c r="BA511" s="31"/>
      <c r="BB511" s="31"/>
      <c r="BC511" s="31"/>
      <c r="BD511" s="31"/>
      <c r="BE511" s="31"/>
      <c r="BF511" s="31"/>
      <c r="BG511" s="31"/>
      <c r="BH511" s="31"/>
      <c r="BI511" s="31"/>
    </row>
    <row r="512" spans="38:61" x14ac:dyDescent="0.2"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  <c r="AZ512" s="31"/>
      <c r="BA512" s="31"/>
      <c r="BB512" s="31"/>
      <c r="BC512" s="31"/>
      <c r="BD512" s="31"/>
      <c r="BE512" s="31"/>
      <c r="BF512" s="31"/>
      <c r="BG512" s="31"/>
      <c r="BH512" s="31"/>
      <c r="BI512" s="31"/>
    </row>
    <row r="513" spans="38:61" x14ac:dyDescent="0.2">
      <c r="AL513" s="31"/>
      <c r="AM513" s="31"/>
      <c r="AN513" s="31"/>
      <c r="AO513" s="31"/>
      <c r="AP513" s="31"/>
      <c r="AQ513" s="31"/>
      <c r="AR513" s="31"/>
      <c r="AS513" s="31"/>
      <c r="AT513" s="31"/>
      <c r="AU513" s="31"/>
      <c r="AV513" s="31"/>
      <c r="AW513" s="31"/>
      <c r="AX513" s="31"/>
      <c r="AY513" s="31"/>
      <c r="AZ513" s="31"/>
      <c r="BA513" s="31"/>
      <c r="BB513" s="31"/>
      <c r="BC513" s="31"/>
      <c r="BD513" s="31"/>
      <c r="BE513" s="31"/>
      <c r="BF513" s="31"/>
      <c r="BG513" s="31"/>
      <c r="BH513" s="31"/>
      <c r="BI513" s="31"/>
    </row>
    <row r="514" spans="38:61" x14ac:dyDescent="0.2">
      <c r="AL514" s="31"/>
      <c r="AM514" s="31"/>
      <c r="AN514" s="31"/>
      <c r="AO514" s="31"/>
      <c r="AP514" s="31"/>
      <c r="AQ514" s="31"/>
      <c r="AR514" s="31"/>
      <c r="AS514" s="31"/>
      <c r="AT514" s="31"/>
      <c r="AU514" s="31"/>
      <c r="AV514" s="31"/>
      <c r="AW514" s="31"/>
      <c r="AX514" s="31"/>
      <c r="AY514" s="31"/>
      <c r="AZ514" s="31"/>
      <c r="BA514" s="31"/>
      <c r="BB514" s="31"/>
      <c r="BC514" s="31"/>
      <c r="BD514" s="31"/>
      <c r="BE514" s="31"/>
      <c r="BF514" s="31"/>
      <c r="BG514" s="31"/>
      <c r="BH514" s="31"/>
      <c r="BI514" s="31"/>
    </row>
    <row r="515" spans="38:61" x14ac:dyDescent="0.2">
      <c r="AL515" s="31"/>
      <c r="AM515" s="31"/>
      <c r="AN515" s="31"/>
      <c r="AO515" s="31"/>
      <c r="AP515" s="31"/>
      <c r="AQ515" s="31"/>
      <c r="AR515" s="31"/>
      <c r="AS515" s="31"/>
      <c r="AT515" s="31"/>
      <c r="AU515" s="31"/>
      <c r="AV515" s="31"/>
      <c r="AW515" s="31"/>
      <c r="AX515" s="31"/>
      <c r="AY515" s="31"/>
      <c r="AZ515" s="31"/>
      <c r="BA515" s="31"/>
      <c r="BB515" s="31"/>
      <c r="BC515" s="31"/>
      <c r="BD515" s="31"/>
      <c r="BE515" s="31"/>
      <c r="BF515" s="31"/>
      <c r="BG515" s="31"/>
      <c r="BH515" s="31"/>
      <c r="BI515" s="31"/>
    </row>
    <row r="516" spans="38:61" x14ac:dyDescent="0.2"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/>
      <c r="AY516" s="31"/>
      <c r="AZ516" s="31"/>
      <c r="BA516" s="31"/>
      <c r="BB516" s="31"/>
      <c r="BC516" s="31"/>
      <c r="BD516" s="31"/>
      <c r="BE516" s="31"/>
      <c r="BF516" s="31"/>
      <c r="BG516" s="31"/>
      <c r="BH516" s="31"/>
      <c r="BI516" s="31"/>
    </row>
    <row r="517" spans="38:61" x14ac:dyDescent="0.2">
      <c r="AL517" s="31"/>
      <c r="AM517" s="31"/>
      <c r="AN517" s="31"/>
      <c r="AO517" s="31"/>
      <c r="AP517" s="31"/>
      <c r="AQ517" s="31"/>
      <c r="AR517" s="31"/>
      <c r="AS517" s="31"/>
      <c r="AT517" s="31"/>
      <c r="AU517" s="31"/>
      <c r="AV517" s="31"/>
      <c r="AW517" s="31"/>
      <c r="AX517" s="31"/>
      <c r="AY517" s="31"/>
      <c r="AZ517" s="31"/>
      <c r="BA517" s="31"/>
      <c r="BB517" s="31"/>
      <c r="BC517" s="31"/>
      <c r="BD517" s="31"/>
      <c r="BE517" s="31"/>
      <c r="BF517" s="31"/>
      <c r="BG517" s="31"/>
      <c r="BH517" s="31"/>
      <c r="BI517" s="31"/>
    </row>
    <row r="518" spans="38:61" x14ac:dyDescent="0.2">
      <c r="AL518" s="31"/>
      <c r="AM518" s="31"/>
      <c r="AN518" s="31"/>
      <c r="AO518" s="31"/>
      <c r="AP518" s="31"/>
      <c r="AQ518" s="31"/>
      <c r="AR518" s="31"/>
      <c r="AS518" s="31"/>
      <c r="AT518" s="31"/>
      <c r="AU518" s="31"/>
      <c r="AV518" s="31"/>
      <c r="AW518" s="31"/>
      <c r="AX518" s="31"/>
      <c r="AY518" s="31"/>
      <c r="AZ518" s="31"/>
      <c r="BA518" s="31"/>
      <c r="BB518" s="31"/>
      <c r="BC518" s="31"/>
      <c r="BD518" s="31"/>
      <c r="BE518" s="31"/>
      <c r="BF518" s="31"/>
      <c r="BG518" s="31"/>
      <c r="BH518" s="31"/>
      <c r="BI518" s="31"/>
    </row>
    <row r="519" spans="38:61" x14ac:dyDescent="0.2">
      <c r="AL519" s="31"/>
      <c r="AM519" s="31"/>
      <c r="AN519" s="31"/>
      <c r="AO519" s="31"/>
      <c r="AP519" s="31"/>
      <c r="AQ519" s="31"/>
      <c r="AR519" s="31"/>
      <c r="AS519" s="31"/>
      <c r="AT519" s="31"/>
      <c r="AU519" s="31"/>
      <c r="AV519" s="31"/>
      <c r="AW519" s="31"/>
      <c r="AX519" s="31"/>
      <c r="AY519" s="31"/>
      <c r="AZ519" s="31"/>
      <c r="BA519" s="31"/>
      <c r="BB519" s="31"/>
      <c r="BC519" s="31"/>
      <c r="BD519" s="31"/>
      <c r="BE519" s="31"/>
      <c r="BF519" s="31"/>
      <c r="BG519" s="31"/>
      <c r="BH519" s="31"/>
      <c r="BI519" s="31"/>
    </row>
    <row r="520" spans="38:61" x14ac:dyDescent="0.2">
      <c r="AL520" s="31"/>
      <c r="AM520" s="31"/>
      <c r="AN520" s="31"/>
      <c r="AO520" s="31"/>
      <c r="AP520" s="31"/>
      <c r="AQ520" s="31"/>
      <c r="AR520" s="31"/>
      <c r="AS520" s="31"/>
      <c r="AT520" s="31"/>
      <c r="AU520" s="31"/>
      <c r="AV520" s="31"/>
      <c r="AW520" s="31"/>
      <c r="AX520" s="31"/>
      <c r="AY520" s="31"/>
      <c r="AZ520" s="31"/>
      <c r="BA520" s="31"/>
      <c r="BB520" s="31"/>
      <c r="BC520" s="31"/>
      <c r="BD520" s="31"/>
      <c r="BE520" s="31"/>
      <c r="BF520" s="31"/>
      <c r="BG520" s="31"/>
      <c r="BH520" s="31"/>
      <c r="BI520" s="31"/>
    </row>
    <row r="521" spans="38:61" x14ac:dyDescent="0.2">
      <c r="AL521" s="31"/>
      <c r="AM521" s="31"/>
      <c r="AN521" s="31"/>
      <c r="AO521" s="31"/>
      <c r="AP521" s="31"/>
      <c r="AQ521" s="31"/>
      <c r="AR521" s="31"/>
      <c r="AS521" s="31"/>
      <c r="AT521" s="31"/>
      <c r="AU521" s="31"/>
      <c r="AV521" s="31"/>
      <c r="AW521" s="31"/>
      <c r="AX521" s="31"/>
      <c r="AY521" s="31"/>
      <c r="AZ521" s="31"/>
      <c r="BA521" s="31"/>
      <c r="BB521" s="31"/>
      <c r="BC521" s="31"/>
      <c r="BD521" s="31"/>
      <c r="BE521" s="31"/>
      <c r="BF521" s="31"/>
      <c r="BG521" s="31"/>
      <c r="BH521" s="31"/>
      <c r="BI521" s="31"/>
    </row>
    <row r="522" spans="38:61" x14ac:dyDescent="0.2">
      <c r="AL522" s="31"/>
      <c r="AM522" s="31"/>
      <c r="AN522" s="31"/>
      <c r="AO522" s="31"/>
      <c r="AP522" s="31"/>
      <c r="AQ522" s="31"/>
      <c r="AR522" s="31"/>
      <c r="AS522" s="31"/>
      <c r="AT522" s="31"/>
      <c r="AU522" s="31"/>
      <c r="AV522" s="31"/>
      <c r="AW522" s="31"/>
      <c r="AX522" s="31"/>
      <c r="AY522" s="31"/>
      <c r="AZ522" s="31"/>
      <c r="BA522" s="31"/>
      <c r="BB522" s="31"/>
      <c r="BC522" s="31"/>
      <c r="BD522" s="31"/>
      <c r="BE522" s="31"/>
      <c r="BF522" s="31"/>
      <c r="BG522" s="31"/>
      <c r="BH522" s="31"/>
      <c r="BI522" s="31"/>
    </row>
    <row r="523" spans="38:61" x14ac:dyDescent="0.2">
      <c r="AL523" s="31"/>
      <c r="AM523" s="31"/>
      <c r="AN523" s="31"/>
      <c r="AO523" s="31"/>
      <c r="AP523" s="31"/>
      <c r="AQ523" s="31"/>
      <c r="AR523" s="31"/>
      <c r="AS523" s="31"/>
      <c r="AT523" s="31"/>
      <c r="AU523" s="31"/>
      <c r="AV523" s="31"/>
      <c r="AW523" s="31"/>
      <c r="AX523" s="31"/>
      <c r="AY523" s="31"/>
      <c r="AZ523" s="31"/>
      <c r="BA523" s="31"/>
      <c r="BB523" s="31"/>
      <c r="BC523" s="31"/>
      <c r="BD523" s="31"/>
      <c r="BE523" s="31"/>
      <c r="BF523" s="31"/>
      <c r="BG523" s="31"/>
      <c r="BH523" s="31"/>
      <c r="BI523" s="31"/>
    </row>
    <row r="524" spans="38:61" x14ac:dyDescent="0.2"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/>
      <c r="AX524" s="31"/>
      <c r="AY524" s="31"/>
      <c r="AZ524" s="31"/>
      <c r="BA524" s="31"/>
      <c r="BB524" s="31"/>
      <c r="BC524" s="31"/>
      <c r="BD524" s="31"/>
      <c r="BE524" s="31"/>
      <c r="BF524" s="31"/>
      <c r="BG524" s="31"/>
      <c r="BH524" s="31"/>
      <c r="BI524" s="31"/>
    </row>
    <row r="525" spans="38:61" x14ac:dyDescent="0.2">
      <c r="AL525" s="31"/>
      <c r="AM525" s="31"/>
      <c r="AN525" s="31"/>
      <c r="AO525" s="31"/>
      <c r="AP525" s="31"/>
      <c r="AQ525" s="31"/>
      <c r="AR525" s="31"/>
      <c r="AS525" s="31"/>
      <c r="AT525" s="31"/>
      <c r="AU525" s="31"/>
      <c r="AV525" s="31"/>
      <c r="AW525" s="31"/>
      <c r="AX525" s="31"/>
      <c r="AY525" s="31"/>
      <c r="AZ525" s="31"/>
      <c r="BA525" s="31"/>
      <c r="BB525" s="31"/>
      <c r="BC525" s="31"/>
      <c r="BD525" s="31"/>
      <c r="BE525" s="31"/>
      <c r="BF525" s="31"/>
      <c r="BG525" s="31"/>
      <c r="BH525" s="31"/>
      <c r="BI525" s="31"/>
    </row>
    <row r="526" spans="38:61" x14ac:dyDescent="0.2">
      <c r="AL526" s="31"/>
      <c r="AM526" s="31"/>
      <c r="AN526" s="31"/>
      <c r="AO526" s="31"/>
      <c r="AP526" s="31"/>
      <c r="AQ526" s="31"/>
      <c r="AR526" s="31"/>
      <c r="AS526" s="31"/>
      <c r="AT526" s="31"/>
      <c r="AU526" s="31"/>
      <c r="AV526" s="31"/>
      <c r="AW526" s="31"/>
      <c r="AX526" s="31"/>
      <c r="AY526" s="31"/>
      <c r="AZ526" s="31"/>
      <c r="BA526" s="31"/>
      <c r="BB526" s="31"/>
      <c r="BC526" s="31"/>
      <c r="BD526" s="31"/>
      <c r="BE526" s="31"/>
      <c r="BF526" s="31"/>
      <c r="BG526" s="31"/>
      <c r="BH526" s="31"/>
      <c r="BI526" s="31"/>
    </row>
    <row r="527" spans="38:61" x14ac:dyDescent="0.2">
      <c r="AL527" s="31"/>
      <c r="AM527" s="31"/>
      <c r="AN527" s="31"/>
      <c r="AO527" s="31"/>
      <c r="AP527" s="31"/>
      <c r="AQ527" s="31"/>
      <c r="AR527" s="31"/>
      <c r="AS527" s="31"/>
      <c r="AT527" s="31"/>
      <c r="AU527" s="31"/>
      <c r="AV527" s="31"/>
      <c r="AW527" s="31"/>
      <c r="AX527" s="31"/>
      <c r="AY527" s="31"/>
      <c r="AZ527" s="31"/>
      <c r="BA527" s="31"/>
      <c r="BB527" s="31"/>
      <c r="BC527" s="31"/>
      <c r="BD527" s="31"/>
      <c r="BE527" s="31"/>
      <c r="BF527" s="31"/>
      <c r="BG527" s="31"/>
      <c r="BH527" s="31"/>
      <c r="BI527" s="31"/>
    </row>
    <row r="528" spans="38:61" x14ac:dyDescent="0.2">
      <c r="AL528" s="31"/>
      <c r="AM528" s="31"/>
      <c r="AN528" s="31"/>
      <c r="AO528" s="31"/>
      <c r="AP528" s="31"/>
      <c r="AQ528" s="31"/>
      <c r="AR528" s="31"/>
      <c r="AS528" s="31"/>
      <c r="AT528" s="31"/>
      <c r="AU528" s="31"/>
      <c r="AV528" s="31"/>
      <c r="AW528" s="31"/>
      <c r="AX528" s="31"/>
      <c r="AY528" s="31"/>
      <c r="AZ528" s="31"/>
      <c r="BA528" s="31"/>
      <c r="BB528" s="31"/>
      <c r="BC528" s="31"/>
      <c r="BD528" s="31"/>
      <c r="BE528" s="31"/>
      <c r="BF528" s="31"/>
      <c r="BG528" s="31"/>
      <c r="BH528" s="31"/>
      <c r="BI528" s="31"/>
    </row>
    <row r="529" spans="38:61" x14ac:dyDescent="0.2">
      <c r="AL529" s="31"/>
      <c r="AM529" s="31"/>
      <c r="AN529" s="31"/>
      <c r="AO529" s="31"/>
      <c r="AP529" s="31"/>
      <c r="AQ529" s="31"/>
      <c r="AR529" s="31"/>
      <c r="AS529" s="31"/>
      <c r="AT529" s="31"/>
      <c r="AU529" s="31"/>
      <c r="AV529" s="31"/>
      <c r="AW529" s="31"/>
      <c r="AX529" s="31"/>
      <c r="AY529" s="31"/>
      <c r="AZ529" s="31"/>
      <c r="BA529" s="31"/>
      <c r="BB529" s="31"/>
      <c r="BC529" s="31"/>
      <c r="BD529" s="31"/>
      <c r="BE529" s="31"/>
      <c r="BF529" s="31"/>
      <c r="BG529" s="31"/>
      <c r="BH529" s="31"/>
      <c r="BI529" s="31"/>
    </row>
    <row r="530" spans="38:61" x14ac:dyDescent="0.2">
      <c r="AL530" s="31"/>
      <c r="AM530" s="31"/>
      <c r="AN530" s="31"/>
      <c r="AO530" s="31"/>
      <c r="AP530" s="31"/>
      <c r="AQ530" s="31"/>
      <c r="AR530" s="31"/>
      <c r="AS530" s="31"/>
      <c r="AT530" s="31"/>
      <c r="AU530" s="31"/>
      <c r="AV530" s="31"/>
      <c r="AW530" s="31"/>
      <c r="AX530" s="31"/>
      <c r="AY530" s="31"/>
      <c r="AZ530" s="31"/>
      <c r="BA530" s="31"/>
      <c r="BB530" s="31"/>
      <c r="BC530" s="31"/>
      <c r="BD530" s="31"/>
      <c r="BE530" s="31"/>
      <c r="BF530" s="31"/>
      <c r="BG530" s="31"/>
      <c r="BH530" s="31"/>
      <c r="BI530" s="31"/>
    </row>
    <row r="531" spans="38:61" x14ac:dyDescent="0.2">
      <c r="AL531" s="31"/>
      <c r="AM531" s="31"/>
      <c r="AN531" s="31"/>
      <c r="AO531" s="31"/>
      <c r="AP531" s="31"/>
      <c r="AQ531" s="31"/>
      <c r="AR531" s="31"/>
      <c r="AS531" s="31"/>
      <c r="AT531" s="31"/>
      <c r="AU531" s="31"/>
      <c r="AV531" s="31"/>
      <c r="AW531" s="31"/>
      <c r="AX531" s="31"/>
      <c r="AY531" s="31"/>
      <c r="AZ531" s="31"/>
      <c r="BA531" s="31"/>
      <c r="BB531" s="31"/>
      <c r="BC531" s="31"/>
      <c r="BD531" s="31"/>
      <c r="BE531" s="31"/>
      <c r="BF531" s="31"/>
      <c r="BG531" s="31"/>
      <c r="BH531" s="31"/>
      <c r="BI531" s="31"/>
    </row>
    <row r="532" spans="38:61" x14ac:dyDescent="0.2">
      <c r="AL532" s="31"/>
      <c r="AM532" s="31"/>
      <c r="AN532" s="31"/>
      <c r="AO532" s="31"/>
      <c r="AP532" s="31"/>
      <c r="AQ532" s="31"/>
      <c r="AR532" s="31"/>
      <c r="AS532" s="31"/>
      <c r="AT532" s="31"/>
      <c r="AU532" s="31"/>
      <c r="AV532" s="31"/>
      <c r="AW532" s="31"/>
      <c r="AX532" s="31"/>
      <c r="AY532" s="31"/>
      <c r="AZ532" s="31"/>
      <c r="BA532" s="31"/>
      <c r="BB532" s="31"/>
      <c r="BC532" s="31"/>
      <c r="BD532" s="31"/>
      <c r="BE532" s="31"/>
      <c r="BF532" s="31"/>
      <c r="BG532" s="31"/>
      <c r="BH532" s="31"/>
      <c r="BI532" s="31"/>
    </row>
    <row r="533" spans="38:61" x14ac:dyDescent="0.2">
      <c r="AL533" s="31"/>
      <c r="AM533" s="31"/>
      <c r="AN533" s="31"/>
      <c r="AO533" s="31"/>
      <c r="AP533" s="31"/>
      <c r="AQ533" s="31"/>
      <c r="AR533" s="31"/>
      <c r="AS533" s="31"/>
      <c r="AT533" s="31"/>
      <c r="AU533" s="31"/>
      <c r="AV533" s="31"/>
      <c r="AW533" s="31"/>
      <c r="AX533" s="31"/>
      <c r="AY533" s="31"/>
      <c r="AZ533" s="31"/>
      <c r="BA533" s="31"/>
      <c r="BB533" s="31"/>
      <c r="BC533" s="31"/>
      <c r="BD533" s="31"/>
      <c r="BE533" s="31"/>
      <c r="BF533" s="31"/>
      <c r="BG533" s="31"/>
      <c r="BH533" s="31"/>
      <c r="BI533" s="31"/>
    </row>
    <row r="534" spans="38:61" x14ac:dyDescent="0.2">
      <c r="AL534" s="31"/>
      <c r="AM534" s="31"/>
      <c r="AN534" s="31"/>
      <c r="AO534" s="31"/>
      <c r="AP534" s="31"/>
      <c r="AQ534" s="31"/>
      <c r="AR534" s="31"/>
      <c r="AS534" s="31"/>
      <c r="AT534" s="31"/>
      <c r="AU534" s="31"/>
      <c r="AV534" s="31"/>
      <c r="AW534" s="31"/>
      <c r="AX534" s="31"/>
      <c r="AY534" s="31"/>
      <c r="AZ534" s="31"/>
      <c r="BA534" s="31"/>
      <c r="BB534" s="31"/>
      <c r="BC534" s="31"/>
      <c r="BD534" s="31"/>
      <c r="BE534" s="31"/>
      <c r="BF534" s="31"/>
      <c r="BG534" s="31"/>
      <c r="BH534" s="31"/>
      <c r="BI534" s="31"/>
    </row>
    <row r="535" spans="38:61" x14ac:dyDescent="0.2">
      <c r="AL535" s="31"/>
      <c r="AM535" s="31"/>
      <c r="AN535" s="31"/>
      <c r="AO535" s="31"/>
      <c r="AP535" s="31"/>
      <c r="AQ535" s="31"/>
      <c r="AR535" s="31"/>
      <c r="AS535" s="31"/>
      <c r="AT535" s="31"/>
      <c r="AU535" s="31"/>
      <c r="AV535" s="31"/>
      <c r="AW535" s="31"/>
      <c r="AX535" s="31"/>
      <c r="AY535" s="31"/>
      <c r="AZ535" s="31"/>
      <c r="BA535" s="31"/>
      <c r="BB535" s="31"/>
      <c r="BC535" s="31"/>
      <c r="BD535" s="31"/>
      <c r="BE535" s="31"/>
      <c r="BF535" s="31"/>
      <c r="BG535" s="31"/>
      <c r="BH535" s="31"/>
      <c r="BI535" s="31"/>
    </row>
    <row r="536" spans="38:61" x14ac:dyDescent="0.2">
      <c r="AL536" s="31"/>
      <c r="AM536" s="31"/>
      <c r="AN536" s="31"/>
      <c r="AO536" s="31"/>
      <c r="AP536" s="31"/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</row>
    <row r="537" spans="38:61" x14ac:dyDescent="0.2">
      <c r="AL537" s="31"/>
      <c r="AM537" s="31"/>
      <c r="AN537" s="31"/>
      <c r="AO537" s="31"/>
      <c r="AP537" s="31"/>
      <c r="AQ537" s="31"/>
      <c r="AR537" s="31"/>
      <c r="AS537" s="31"/>
      <c r="AT537" s="31"/>
      <c r="AU537" s="31"/>
      <c r="AV537" s="31"/>
      <c r="AW537" s="31"/>
      <c r="AX537" s="31"/>
      <c r="AY537" s="31"/>
      <c r="AZ537" s="31"/>
      <c r="BA537" s="31"/>
      <c r="BB537" s="31"/>
      <c r="BC537" s="31"/>
      <c r="BD537" s="31"/>
      <c r="BE537" s="31"/>
      <c r="BF537" s="31"/>
      <c r="BG537" s="31"/>
      <c r="BH537" s="31"/>
      <c r="BI537" s="31"/>
    </row>
    <row r="538" spans="38:61" x14ac:dyDescent="0.2">
      <c r="AL538" s="31"/>
      <c r="AM538" s="31"/>
      <c r="AN538" s="31"/>
      <c r="AO538" s="31"/>
      <c r="AP538" s="31"/>
      <c r="AQ538" s="31"/>
      <c r="AR538" s="31"/>
      <c r="AS538" s="31"/>
      <c r="AT538" s="31"/>
      <c r="AU538" s="31"/>
      <c r="AV538" s="31"/>
      <c r="AW538" s="31"/>
      <c r="AX538" s="31"/>
      <c r="AY538" s="31"/>
      <c r="AZ538" s="31"/>
      <c r="BA538" s="31"/>
      <c r="BB538" s="31"/>
      <c r="BC538" s="31"/>
      <c r="BD538" s="31"/>
      <c r="BE538" s="31"/>
      <c r="BF538" s="31"/>
      <c r="BG538" s="31"/>
      <c r="BH538" s="31"/>
      <c r="BI538" s="31"/>
    </row>
    <row r="539" spans="38:61" x14ac:dyDescent="0.2">
      <c r="AL539" s="31"/>
      <c r="AM539" s="31"/>
      <c r="AN539" s="31"/>
      <c r="AO539" s="31"/>
      <c r="AP539" s="31"/>
      <c r="AQ539" s="31"/>
      <c r="AR539" s="31"/>
      <c r="AS539" s="31"/>
      <c r="AT539" s="31"/>
      <c r="AU539" s="31"/>
      <c r="AV539" s="31"/>
      <c r="AW539" s="31"/>
      <c r="AX539" s="31"/>
      <c r="AY539" s="31"/>
      <c r="AZ539" s="31"/>
      <c r="BA539" s="31"/>
      <c r="BB539" s="31"/>
      <c r="BC539" s="31"/>
      <c r="BD539" s="31"/>
      <c r="BE539" s="31"/>
      <c r="BF539" s="31"/>
      <c r="BG539" s="31"/>
      <c r="BH539" s="31"/>
      <c r="BI539" s="31"/>
    </row>
    <row r="540" spans="38:61" x14ac:dyDescent="0.2">
      <c r="AL540" s="31"/>
      <c r="AM540" s="31"/>
      <c r="AN540" s="31"/>
      <c r="AO540" s="31"/>
      <c r="AP540" s="31"/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1"/>
      <c r="BD540" s="31"/>
      <c r="BE540" s="31"/>
      <c r="BF540" s="31"/>
      <c r="BG540" s="31"/>
      <c r="BH540" s="31"/>
      <c r="BI540" s="31"/>
    </row>
    <row r="541" spans="38:61" x14ac:dyDescent="0.2">
      <c r="AL541" s="31"/>
      <c r="AM541" s="31"/>
      <c r="AN541" s="31"/>
      <c r="AO541" s="31"/>
      <c r="AP541" s="31"/>
      <c r="AQ541" s="31"/>
      <c r="AR541" s="31"/>
      <c r="AS541" s="31"/>
      <c r="AT541" s="31"/>
      <c r="AU541" s="31"/>
      <c r="AV541" s="31"/>
      <c r="AW541" s="31"/>
      <c r="AX541" s="31"/>
      <c r="AY541" s="31"/>
      <c r="AZ541" s="31"/>
      <c r="BA541" s="31"/>
      <c r="BB541" s="31"/>
      <c r="BC541" s="31"/>
      <c r="BD541" s="31"/>
      <c r="BE541" s="31"/>
      <c r="BF541" s="31"/>
      <c r="BG541" s="31"/>
      <c r="BH541" s="31"/>
      <c r="BI541" s="31"/>
    </row>
    <row r="542" spans="38:61" x14ac:dyDescent="0.2">
      <c r="AL542" s="31"/>
      <c r="AM542" s="31"/>
      <c r="AN542" s="31"/>
      <c r="AO542" s="31"/>
      <c r="AP542" s="31"/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31"/>
      <c r="BD542" s="31"/>
      <c r="BE542" s="31"/>
      <c r="BF542" s="31"/>
      <c r="BG542" s="31"/>
      <c r="BH542" s="31"/>
      <c r="BI542" s="31"/>
    </row>
    <row r="543" spans="38:61" x14ac:dyDescent="0.2">
      <c r="AL543" s="31"/>
      <c r="AM543" s="31"/>
      <c r="AN543" s="31"/>
      <c r="AO543" s="31"/>
      <c r="AP543" s="31"/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31"/>
      <c r="BD543" s="31"/>
      <c r="BE543" s="31"/>
      <c r="BF543" s="31"/>
      <c r="BG543" s="31"/>
      <c r="BH543" s="31"/>
      <c r="BI543" s="31"/>
    </row>
    <row r="544" spans="38:61" x14ac:dyDescent="0.2">
      <c r="AL544" s="31"/>
      <c r="AM544" s="31"/>
      <c r="AN544" s="31"/>
      <c r="AO544" s="31"/>
      <c r="AP544" s="31"/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</row>
    <row r="545" spans="38:61" x14ac:dyDescent="0.2">
      <c r="AL545" s="31"/>
      <c r="AM545" s="31"/>
      <c r="AN545" s="31"/>
      <c r="AO545" s="31"/>
      <c r="AP545" s="31"/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</row>
    <row r="546" spans="38:61" x14ac:dyDescent="0.2">
      <c r="AL546" s="31"/>
      <c r="AM546" s="31"/>
      <c r="AN546" s="31"/>
      <c r="AO546" s="31"/>
      <c r="AP546" s="31"/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</row>
    <row r="547" spans="38:61" x14ac:dyDescent="0.2">
      <c r="AL547" s="31"/>
      <c r="AM547" s="31"/>
      <c r="AN547" s="31"/>
      <c r="AO547" s="31"/>
      <c r="AP547" s="31"/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</row>
    <row r="548" spans="38:61" x14ac:dyDescent="0.2">
      <c r="AL548" s="31"/>
      <c r="AM548" s="31"/>
      <c r="AN548" s="31"/>
      <c r="AO548" s="31"/>
      <c r="AP548" s="31"/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31"/>
      <c r="BD548" s="31"/>
      <c r="BE548" s="31"/>
      <c r="BF548" s="31"/>
      <c r="BG548" s="31"/>
      <c r="BH548" s="31"/>
      <c r="BI548" s="31"/>
    </row>
    <row r="549" spans="38:61" x14ac:dyDescent="0.2">
      <c r="AL549" s="31"/>
      <c r="AM549" s="31"/>
      <c r="AN549" s="31"/>
      <c r="AO549" s="31"/>
      <c r="AP549" s="31"/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  <c r="BA549" s="31"/>
      <c r="BB549" s="31"/>
      <c r="BC549" s="31"/>
      <c r="BD549" s="31"/>
      <c r="BE549" s="31"/>
      <c r="BF549" s="31"/>
      <c r="BG549" s="31"/>
      <c r="BH549" s="31"/>
      <c r="BI549" s="31"/>
    </row>
    <row r="550" spans="38:61" x14ac:dyDescent="0.2">
      <c r="AL550" s="31"/>
      <c r="AM550" s="31"/>
      <c r="AN550" s="31"/>
      <c r="AO550" s="31"/>
      <c r="AP550" s="31"/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31"/>
      <c r="BD550" s="31"/>
      <c r="BE550" s="31"/>
      <c r="BF550" s="31"/>
      <c r="BG550" s="31"/>
      <c r="BH550" s="31"/>
      <c r="BI550" s="31"/>
    </row>
    <row r="551" spans="38:61" x14ac:dyDescent="0.2">
      <c r="AL551" s="31"/>
      <c r="AM551" s="31"/>
      <c r="AN551" s="31"/>
      <c r="AO551" s="31"/>
      <c r="AP551" s="31"/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31"/>
      <c r="BD551" s="31"/>
      <c r="BE551" s="31"/>
      <c r="BF551" s="31"/>
      <c r="BG551" s="31"/>
      <c r="BH551" s="31"/>
      <c r="BI551" s="31"/>
    </row>
    <row r="552" spans="38:61" x14ac:dyDescent="0.2">
      <c r="AL552" s="31"/>
      <c r="AM552" s="31"/>
      <c r="AN552" s="31"/>
      <c r="AO552" s="31"/>
      <c r="AP552" s="31"/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31"/>
      <c r="BD552" s="31"/>
      <c r="BE552" s="31"/>
      <c r="BF552" s="31"/>
      <c r="BG552" s="31"/>
      <c r="BH552" s="31"/>
      <c r="BI552" s="31"/>
    </row>
    <row r="553" spans="38:61" x14ac:dyDescent="0.2">
      <c r="AL553" s="31"/>
      <c r="AM553" s="31"/>
      <c r="AN553" s="31"/>
      <c r="AO553" s="31"/>
      <c r="AP553" s="31"/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31"/>
      <c r="BD553" s="31"/>
      <c r="BE553" s="31"/>
      <c r="BF553" s="31"/>
      <c r="BG553" s="31"/>
      <c r="BH553" s="31"/>
      <c r="BI553" s="31"/>
    </row>
    <row r="554" spans="38:61" x14ac:dyDescent="0.2">
      <c r="AL554" s="31"/>
      <c r="AM554" s="31"/>
      <c r="AN554" s="31"/>
      <c r="AO554" s="31"/>
      <c r="AP554" s="31"/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  <c r="BA554" s="31"/>
      <c r="BB554" s="31"/>
      <c r="BC554" s="31"/>
      <c r="BD554" s="31"/>
      <c r="BE554" s="31"/>
      <c r="BF554" s="31"/>
      <c r="BG554" s="31"/>
      <c r="BH554" s="31"/>
      <c r="BI554" s="31"/>
    </row>
    <row r="555" spans="38:61" x14ac:dyDescent="0.2">
      <c r="AL555" s="31"/>
      <c r="AM555" s="31"/>
      <c r="AN555" s="31"/>
      <c r="AO555" s="31"/>
      <c r="AP555" s="31"/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  <c r="BA555" s="31"/>
      <c r="BB555" s="31"/>
      <c r="BC555" s="31"/>
      <c r="BD555" s="31"/>
      <c r="BE555" s="31"/>
      <c r="BF555" s="31"/>
      <c r="BG555" s="31"/>
      <c r="BH555" s="31"/>
      <c r="BI555" s="31"/>
    </row>
    <row r="556" spans="38:61" x14ac:dyDescent="0.2">
      <c r="AL556" s="31"/>
      <c r="AM556" s="31"/>
      <c r="AN556" s="31"/>
      <c r="AO556" s="31"/>
      <c r="AP556" s="31"/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31"/>
      <c r="BD556" s="31"/>
      <c r="BE556" s="31"/>
      <c r="BF556" s="31"/>
      <c r="BG556" s="31"/>
      <c r="BH556" s="31"/>
      <c r="BI556" s="31"/>
    </row>
    <row r="557" spans="38:61" x14ac:dyDescent="0.2">
      <c r="AL557" s="31"/>
      <c r="AM557" s="31"/>
      <c r="AN557" s="31"/>
      <c r="AO557" s="31"/>
      <c r="AP557" s="31"/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  <c r="BA557" s="31"/>
      <c r="BB557" s="31"/>
      <c r="BC557" s="31"/>
      <c r="BD557" s="31"/>
      <c r="BE557" s="31"/>
      <c r="BF557" s="31"/>
      <c r="BG557" s="31"/>
      <c r="BH557" s="31"/>
      <c r="BI557" s="31"/>
    </row>
    <row r="558" spans="38:61" x14ac:dyDescent="0.2">
      <c r="AL558" s="31"/>
      <c r="AM558" s="31"/>
      <c r="AN558" s="31"/>
      <c r="AO558" s="31"/>
      <c r="AP558" s="31"/>
      <c r="AQ558" s="31"/>
      <c r="AR558" s="31"/>
      <c r="AS558" s="31"/>
      <c r="AT558" s="31"/>
      <c r="AU558" s="31"/>
      <c r="AV558" s="31"/>
      <c r="AW558" s="31"/>
      <c r="AX558" s="31"/>
      <c r="AY558" s="31"/>
      <c r="AZ558" s="31"/>
      <c r="BA558" s="31"/>
      <c r="BB558" s="31"/>
      <c r="BC558" s="31"/>
      <c r="BD558" s="31"/>
      <c r="BE558" s="31"/>
      <c r="BF558" s="31"/>
      <c r="BG558" s="31"/>
      <c r="BH558" s="31"/>
      <c r="BI558" s="31"/>
    </row>
    <row r="559" spans="38:61" x14ac:dyDescent="0.2">
      <c r="AL559" s="31"/>
      <c r="AM559" s="31"/>
      <c r="AN559" s="31"/>
      <c r="AO559" s="31"/>
      <c r="AP559" s="31"/>
      <c r="AQ559" s="31"/>
      <c r="AR559" s="31"/>
      <c r="AS559" s="31"/>
      <c r="AT559" s="31"/>
      <c r="AU559" s="31"/>
      <c r="AV559" s="31"/>
      <c r="AW559" s="31"/>
      <c r="AX559" s="31"/>
      <c r="AY559" s="31"/>
      <c r="AZ559" s="31"/>
      <c r="BA559" s="31"/>
      <c r="BB559" s="31"/>
      <c r="BC559" s="31"/>
      <c r="BD559" s="31"/>
      <c r="BE559" s="31"/>
      <c r="BF559" s="31"/>
      <c r="BG559" s="31"/>
      <c r="BH559" s="31"/>
      <c r="BI559" s="31"/>
    </row>
    <row r="560" spans="38:61" x14ac:dyDescent="0.2">
      <c r="AL560" s="31"/>
      <c r="AM560" s="31"/>
      <c r="AN560" s="31"/>
      <c r="AO560" s="31"/>
      <c r="AP560" s="31"/>
      <c r="AQ560" s="31"/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31"/>
      <c r="BD560" s="31"/>
      <c r="BE560" s="31"/>
      <c r="BF560" s="31"/>
      <c r="BG560" s="31"/>
      <c r="BH560" s="31"/>
      <c r="BI560" s="31"/>
    </row>
    <row r="561" spans="38:61" x14ac:dyDescent="0.2">
      <c r="AL561" s="31"/>
      <c r="AM561" s="31"/>
      <c r="AN561" s="31"/>
      <c r="AO561" s="31"/>
      <c r="AP561" s="31"/>
      <c r="AQ561" s="31"/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31"/>
      <c r="BD561" s="31"/>
      <c r="BE561" s="31"/>
      <c r="BF561" s="31"/>
      <c r="BG561" s="31"/>
      <c r="BH561" s="31"/>
      <c r="BI561" s="31"/>
    </row>
    <row r="562" spans="38:61" x14ac:dyDescent="0.2">
      <c r="AL562" s="31"/>
      <c r="AM562" s="31"/>
      <c r="AN562" s="31"/>
      <c r="AO562" s="31"/>
      <c r="AP562" s="31"/>
      <c r="AQ562" s="31"/>
      <c r="AR562" s="31"/>
      <c r="AS562" s="31"/>
      <c r="AT562" s="31"/>
      <c r="AU562" s="31"/>
      <c r="AV562" s="31"/>
      <c r="AW562" s="31"/>
      <c r="AX562" s="31"/>
      <c r="AY562" s="31"/>
      <c r="AZ562" s="31"/>
      <c r="BA562" s="31"/>
      <c r="BB562" s="31"/>
      <c r="BC562" s="31"/>
      <c r="BD562" s="31"/>
      <c r="BE562" s="31"/>
      <c r="BF562" s="31"/>
      <c r="BG562" s="31"/>
      <c r="BH562" s="31"/>
      <c r="BI562" s="31"/>
    </row>
    <row r="563" spans="38:61" x14ac:dyDescent="0.2">
      <c r="AL563" s="31"/>
      <c r="AM563" s="31"/>
      <c r="AN563" s="31"/>
      <c r="AO563" s="31"/>
      <c r="AP563" s="31"/>
      <c r="AQ563" s="31"/>
      <c r="AR563" s="31"/>
      <c r="AS563" s="31"/>
      <c r="AT563" s="31"/>
      <c r="AU563" s="31"/>
      <c r="AV563" s="31"/>
      <c r="AW563" s="31"/>
      <c r="AX563" s="31"/>
      <c r="AY563" s="31"/>
      <c r="AZ563" s="31"/>
      <c r="BA563" s="31"/>
      <c r="BB563" s="31"/>
      <c r="BC563" s="31"/>
      <c r="BD563" s="31"/>
      <c r="BE563" s="31"/>
      <c r="BF563" s="31"/>
      <c r="BG563" s="31"/>
      <c r="BH563" s="31"/>
      <c r="BI563" s="31"/>
    </row>
    <row r="564" spans="38:61" x14ac:dyDescent="0.2">
      <c r="AL564" s="31"/>
      <c r="AM564" s="31"/>
      <c r="AN564" s="31"/>
      <c r="AO564" s="31"/>
      <c r="AP564" s="31"/>
      <c r="AQ564" s="31"/>
      <c r="AR564" s="31"/>
      <c r="AS564" s="31"/>
      <c r="AT564" s="31"/>
      <c r="AU564" s="31"/>
      <c r="AV564" s="31"/>
      <c r="AW564" s="31"/>
      <c r="AX564" s="31"/>
      <c r="AY564" s="31"/>
      <c r="AZ564" s="31"/>
      <c r="BA564" s="31"/>
      <c r="BB564" s="31"/>
      <c r="BC564" s="31"/>
      <c r="BD564" s="31"/>
      <c r="BE564" s="31"/>
      <c r="BF564" s="31"/>
      <c r="BG564" s="31"/>
      <c r="BH564" s="31"/>
      <c r="BI564" s="31"/>
    </row>
    <row r="565" spans="38:61" x14ac:dyDescent="0.2">
      <c r="AL565" s="31"/>
      <c r="AM565" s="31"/>
      <c r="AN565" s="31"/>
      <c r="AO565" s="31"/>
      <c r="AP565" s="31"/>
      <c r="AQ565" s="31"/>
      <c r="AR565" s="31"/>
      <c r="AS565" s="31"/>
      <c r="AT565" s="31"/>
      <c r="AU565" s="31"/>
      <c r="AV565" s="31"/>
      <c r="AW565" s="31"/>
      <c r="AX565" s="31"/>
      <c r="AY565" s="31"/>
      <c r="AZ565" s="31"/>
      <c r="BA565" s="31"/>
      <c r="BB565" s="31"/>
      <c r="BC565" s="31"/>
      <c r="BD565" s="31"/>
      <c r="BE565" s="31"/>
      <c r="BF565" s="31"/>
      <c r="BG565" s="31"/>
      <c r="BH565" s="31"/>
      <c r="BI565" s="31"/>
    </row>
    <row r="566" spans="38:61" x14ac:dyDescent="0.2">
      <c r="AL566" s="31"/>
      <c r="AM566" s="31"/>
      <c r="AN566" s="31"/>
      <c r="AO566" s="31"/>
      <c r="AP566" s="31"/>
      <c r="AQ566" s="31"/>
      <c r="AR566" s="31"/>
      <c r="AS566" s="31"/>
      <c r="AT566" s="31"/>
      <c r="AU566" s="31"/>
      <c r="AV566" s="31"/>
      <c r="AW566" s="31"/>
      <c r="AX566" s="31"/>
      <c r="AY566" s="31"/>
      <c r="AZ566" s="31"/>
      <c r="BA566" s="31"/>
      <c r="BB566" s="31"/>
      <c r="BC566" s="31"/>
      <c r="BD566" s="31"/>
      <c r="BE566" s="31"/>
      <c r="BF566" s="31"/>
      <c r="BG566" s="31"/>
      <c r="BH566" s="31"/>
      <c r="BI566" s="31"/>
    </row>
    <row r="567" spans="38:61" x14ac:dyDescent="0.2">
      <c r="AL567" s="31"/>
      <c r="AM567" s="31"/>
      <c r="AN567" s="31"/>
      <c r="AO567" s="31"/>
      <c r="AP567" s="31"/>
      <c r="AQ567" s="31"/>
      <c r="AR567" s="31"/>
      <c r="AS567" s="31"/>
      <c r="AT567" s="31"/>
      <c r="AU567" s="31"/>
      <c r="AV567" s="31"/>
      <c r="AW567" s="31"/>
      <c r="AX567" s="31"/>
      <c r="AY567" s="31"/>
      <c r="AZ567" s="31"/>
      <c r="BA567" s="31"/>
      <c r="BB567" s="31"/>
      <c r="BC567" s="31"/>
      <c r="BD567" s="31"/>
      <c r="BE567" s="31"/>
      <c r="BF567" s="31"/>
      <c r="BG567" s="31"/>
      <c r="BH567" s="31"/>
      <c r="BI567" s="31"/>
    </row>
    <row r="568" spans="38:61" x14ac:dyDescent="0.2">
      <c r="AL568" s="31"/>
      <c r="AM568" s="31"/>
      <c r="AN568" s="31"/>
      <c r="AO568" s="31"/>
      <c r="AP568" s="31"/>
      <c r="AQ568" s="31"/>
      <c r="AR568" s="31"/>
      <c r="AS568" s="31"/>
      <c r="AT568" s="31"/>
      <c r="AU568" s="31"/>
      <c r="AV568" s="31"/>
      <c r="AW568" s="31"/>
      <c r="AX568" s="31"/>
      <c r="AY568" s="31"/>
      <c r="AZ568" s="31"/>
      <c r="BA568" s="31"/>
      <c r="BB568" s="31"/>
      <c r="BC568" s="31"/>
      <c r="BD568" s="31"/>
      <c r="BE568" s="31"/>
      <c r="BF568" s="31"/>
      <c r="BG568" s="31"/>
      <c r="BH568" s="31"/>
      <c r="BI568" s="31"/>
    </row>
    <row r="569" spans="38:61" x14ac:dyDescent="0.2">
      <c r="AL569" s="31"/>
      <c r="AM569" s="31"/>
      <c r="AN569" s="31"/>
      <c r="AO569" s="31"/>
      <c r="AP569" s="31"/>
      <c r="AQ569" s="31"/>
      <c r="AR569" s="31"/>
      <c r="AS569" s="31"/>
      <c r="AT569" s="31"/>
      <c r="AU569" s="31"/>
      <c r="AV569" s="31"/>
      <c r="AW569" s="31"/>
      <c r="AX569" s="31"/>
      <c r="AY569" s="31"/>
      <c r="AZ569" s="31"/>
      <c r="BA569" s="31"/>
      <c r="BB569" s="31"/>
      <c r="BC569" s="31"/>
      <c r="BD569" s="31"/>
      <c r="BE569" s="31"/>
      <c r="BF569" s="31"/>
      <c r="BG569" s="31"/>
      <c r="BH569" s="31"/>
      <c r="BI569" s="31"/>
    </row>
    <row r="570" spans="38:61" x14ac:dyDescent="0.2">
      <c r="AL570" s="31"/>
      <c r="AM570" s="31"/>
      <c r="AN570" s="31"/>
      <c r="AO570" s="31"/>
      <c r="AP570" s="31"/>
      <c r="AQ570" s="31"/>
      <c r="AR570" s="31"/>
      <c r="AS570" s="31"/>
      <c r="AT570" s="31"/>
      <c r="AU570" s="31"/>
      <c r="AV570" s="31"/>
      <c r="AW570" s="31"/>
      <c r="AX570" s="31"/>
      <c r="AY570" s="31"/>
      <c r="AZ570" s="31"/>
      <c r="BA570" s="31"/>
      <c r="BB570" s="31"/>
      <c r="BC570" s="31"/>
      <c r="BD570" s="31"/>
      <c r="BE570" s="31"/>
      <c r="BF570" s="31"/>
      <c r="BG570" s="31"/>
      <c r="BH570" s="31"/>
      <c r="BI570" s="31"/>
    </row>
    <row r="571" spans="38:61" x14ac:dyDescent="0.2">
      <c r="AL571" s="31"/>
      <c r="AM571" s="31"/>
      <c r="AN571" s="31"/>
      <c r="AO571" s="31"/>
      <c r="AP571" s="31"/>
      <c r="AQ571" s="31"/>
      <c r="AR571" s="31"/>
      <c r="AS571" s="31"/>
      <c r="AT571" s="31"/>
      <c r="AU571" s="31"/>
      <c r="AV571" s="31"/>
      <c r="AW571" s="31"/>
      <c r="AX571" s="31"/>
      <c r="AY571" s="31"/>
      <c r="AZ571" s="31"/>
      <c r="BA571" s="31"/>
      <c r="BB571" s="31"/>
      <c r="BC571" s="31"/>
      <c r="BD571" s="31"/>
      <c r="BE571" s="31"/>
      <c r="BF571" s="31"/>
      <c r="BG571" s="31"/>
      <c r="BH571" s="31"/>
      <c r="BI571" s="31"/>
    </row>
    <row r="572" spans="38:61" x14ac:dyDescent="0.2">
      <c r="AL572" s="31"/>
      <c r="AM572" s="31"/>
      <c r="AN572" s="31"/>
      <c r="AO572" s="31"/>
      <c r="AP572" s="31"/>
      <c r="AQ572" s="31"/>
      <c r="AR572" s="31"/>
      <c r="AS572" s="31"/>
      <c r="AT572" s="31"/>
      <c r="AU572" s="31"/>
      <c r="AV572" s="31"/>
      <c r="AW572" s="31"/>
      <c r="AX572" s="31"/>
      <c r="AY572" s="31"/>
      <c r="AZ572" s="31"/>
      <c r="BA572" s="31"/>
      <c r="BB572" s="31"/>
      <c r="BC572" s="31"/>
      <c r="BD572" s="31"/>
      <c r="BE572" s="31"/>
      <c r="BF572" s="31"/>
      <c r="BG572" s="31"/>
      <c r="BH572" s="31"/>
      <c r="BI572" s="31"/>
    </row>
    <row r="573" spans="38:61" x14ac:dyDescent="0.2">
      <c r="AL573" s="31"/>
      <c r="AM573" s="31"/>
      <c r="AN573" s="31"/>
      <c r="AO573" s="31"/>
      <c r="AP573" s="31"/>
      <c r="AQ573" s="31"/>
      <c r="AR573" s="31"/>
      <c r="AS573" s="31"/>
      <c r="AT573" s="31"/>
      <c r="AU573" s="31"/>
      <c r="AV573" s="31"/>
      <c r="AW573" s="31"/>
      <c r="AX573" s="31"/>
      <c r="AY573" s="31"/>
      <c r="AZ573" s="31"/>
      <c r="BA573" s="31"/>
      <c r="BB573" s="31"/>
      <c r="BC573" s="31"/>
      <c r="BD573" s="31"/>
      <c r="BE573" s="31"/>
      <c r="BF573" s="31"/>
      <c r="BG573" s="31"/>
      <c r="BH573" s="31"/>
      <c r="BI573" s="31"/>
    </row>
    <row r="574" spans="38:61" x14ac:dyDescent="0.2">
      <c r="AL574" s="31"/>
      <c r="AM574" s="31"/>
      <c r="AN574" s="31"/>
      <c r="AO574" s="31"/>
      <c r="AP574" s="31"/>
      <c r="AQ574" s="31"/>
      <c r="AR574" s="31"/>
      <c r="AS574" s="31"/>
      <c r="AT574" s="31"/>
      <c r="AU574" s="31"/>
      <c r="AV574" s="31"/>
      <c r="AW574" s="31"/>
      <c r="AX574" s="31"/>
      <c r="AY574" s="31"/>
      <c r="AZ574" s="31"/>
      <c r="BA574" s="31"/>
      <c r="BB574" s="31"/>
      <c r="BC574" s="31"/>
      <c r="BD574" s="31"/>
      <c r="BE574" s="31"/>
      <c r="BF574" s="31"/>
      <c r="BG574" s="31"/>
      <c r="BH574" s="31"/>
      <c r="BI574" s="31"/>
    </row>
    <row r="575" spans="38:61" x14ac:dyDescent="0.2">
      <c r="AL575" s="31"/>
      <c r="AM575" s="31"/>
      <c r="AN575" s="31"/>
      <c r="AO575" s="31"/>
      <c r="AP575" s="31"/>
      <c r="AQ575" s="31"/>
      <c r="AR575" s="31"/>
      <c r="AS575" s="31"/>
      <c r="AT575" s="31"/>
      <c r="AU575" s="31"/>
      <c r="AV575" s="31"/>
      <c r="AW575" s="31"/>
      <c r="AX575" s="31"/>
      <c r="AY575" s="31"/>
      <c r="AZ575" s="31"/>
      <c r="BA575" s="31"/>
      <c r="BB575" s="31"/>
      <c r="BC575" s="31"/>
      <c r="BD575" s="31"/>
      <c r="BE575" s="31"/>
      <c r="BF575" s="31"/>
      <c r="BG575" s="31"/>
      <c r="BH575" s="31"/>
      <c r="BI575" s="31"/>
    </row>
    <row r="576" spans="38:61" x14ac:dyDescent="0.2">
      <c r="AL576" s="31"/>
      <c r="AM576" s="31"/>
      <c r="AN576" s="31"/>
      <c r="AO576" s="31"/>
      <c r="AP576" s="31"/>
      <c r="AQ576" s="31"/>
      <c r="AR576" s="31"/>
      <c r="AS576" s="31"/>
      <c r="AT576" s="31"/>
      <c r="AU576" s="31"/>
      <c r="AV576" s="31"/>
      <c r="AW576" s="31"/>
      <c r="AX576" s="31"/>
      <c r="AY576" s="31"/>
      <c r="AZ576" s="31"/>
      <c r="BA576" s="31"/>
      <c r="BB576" s="31"/>
      <c r="BC576" s="31"/>
      <c r="BD576" s="31"/>
      <c r="BE576" s="31"/>
      <c r="BF576" s="31"/>
      <c r="BG576" s="31"/>
      <c r="BH576" s="31"/>
      <c r="BI576" s="31"/>
    </row>
    <row r="577" spans="38:61" x14ac:dyDescent="0.2">
      <c r="AL577" s="31"/>
      <c r="AM577" s="31"/>
      <c r="AN577" s="31"/>
      <c r="AO577" s="31"/>
      <c r="AP577" s="31"/>
      <c r="AQ577" s="31"/>
      <c r="AR577" s="31"/>
      <c r="AS577" s="31"/>
      <c r="AT577" s="31"/>
      <c r="AU577" s="31"/>
      <c r="AV577" s="31"/>
      <c r="AW577" s="31"/>
      <c r="AX577" s="31"/>
      <c r="AY577" s="31"/>
      <c r="AZ577" s="31"/>
      <c r="BA577" s="31"/>
      <c r="BB577" s="31"/>
      <c r="BC577" s="31"/>
      <c r="BD577" s="31"/>
      <c r="BE577" s="31"/>
      <c r="BF577" s="31"/>
      <c r="BG577" s="31"/>
      <c r="BH577" s="31"/>
      <c r="BI577" s="31"/>
    </row>
    <row r="578" spans="38:61" x14ac:dyDescent="0.2">
      <c r="AL578" s="31"/>
      <c r="AM578" s="31"/>
      <c r="AN578" s="31"/>
      <c r="AO578" s="31"/>
      <c r="AP578" s="31"/>
      <c r="AQ578" s="31"/>
      <c r="AR578" s="31"/>
      <c r="AS578" s="31"/>
      <c r="AT578" s="31"/>
      <c r="AU578" s="31"/>
      <c r="AV578" s="31"/>
      <c r="AW578" s="31"/>
      <c r="AX578" s="31"/>
      <c r="AY578" s="31"/>
      <c r="AZ578" s="31"/>
      <c r="BA578" s="31"/>
      <c r="BB578" s="31"/>
      <c r="BC578" s="31"/>
      <c r="BD578" s="31"/>
      <c r="BE578" s="31"/>
      <c r="BF578" s="31"/>
      <c r="BG578" s="31"/>
      <c r="BH578" s="31"/>
      <c r="BI578" s="31"/>
    </row>
    <row r="579" spans="38:61" x14ac:dyDescent="0.2">
      <c r="AL579" s="31"/>
      <c r="AM579" s="31"/>
      <c r="AN579" s="31"/>
      <c r="AO579" s="31"/>
      <c r="AP579" s="31"/>
      <c r="AQ579" s="31"/>
      <c r="AR579" s="31"/>
      <c r="AS579" s="31"/>
      <c r="AT579" s="31"/>
      <c r="AU579" s="31"/>
      <c r="AV579" s="31"/>
      <c r="AW579" s="31"/>
      <c r="AX579" s="31"/>
      <c r="AY579" s="31"/>
      <c r="AZ579" s="31"/>
      <c r="BA579" s="31"/>
      <c r="BB579" s="31"/>
      <c r="BC579" s="31"/>
      <c r="BD579" s="31"/>
      <c r="BE579" s="31"/>
      <c r="BF579" s="31"/>
      <c r="BG579" s="31"/>
      <c r="BH579" s="31"/>
      <c r="BI579" s="31"/>
    </row>
    <row r="580" spans="38:61" x14ac:dyDescent="0.2">
      <c r="AL580" s="31"/>
      <c r="AM580" s="31"/>
      <c r="AN580" s="31"/>
      <c r="AO580" s="31"/>
      <c r="AP580" s="31"/>
      <c r="AQ580" s="31"/>
      <c r="AR580" s="31"/>
      <c r="AS580" s="31"/>
      <c r="AT580" s="31"/>
      <c r="AU580" s="31"/>
      <c r="AV580" s="31"/>
      <c r="AW580" s="31"/>
      <c r="AX580" s="31"/>
      <c r="AY580" s="31"/>
      <c r="AZ580" s="31"/>
      <c r="BA580" s="31"/>
      <c r="BB580" s="31"/>
      <c r="BC580" s="31"/>
      <c r="BD580" s="31"/>
      <c r="BE580" s="31"/>
      <c r="BF580" s="31"/>
      <c r="BG580" s="31"/>
      <c r="BH580" s="31"/>
      <c r="BI580" s="31"/>
    </row>
    <row r="581" spans="38:61" x14ac:dyDescent="0.2">
      <c r="AL581" s="31"/>
      <c r="AM581" s="31"/>
      <c r="AN581" s="31"/>
      <c r="AO581" s="31"/>
      <c r="AP581" s="31"/>
      <c r="AQ581" s="31"/>
      <c r="AR581" s="31"/>
      <c r="AS581" s="31"/>
      <c r="AT581" s="31"/>
      <c r="AU581" s="31"/>
      <c r="AV581" s="31"/>
      <c r="AW581" s="31"/>
      <c r="AX581" s="31"/>
      <c r="AY581" s="31"/>
      <c r="AZ581" s="31"/>
      <c r="BA581" s="31"/>
      <c r="BB581" s="31"/>
      <c r="BC581" s="31"/>
      <c r="BD581" s="31"/>
      <c r="BE581" s="31"/>
      <c r="BF581" s="31"/>
      <c r="BG581" s="31"/>
      <c r="BH581" s="31"/>
      <c r="BI581" s="31"/>
    </row>
    <row r="582" spans="38:61" x14ac:dyDescent="0.2">
      <c r="AL582" s="31"/>
      <c r="AM582" s="31"/>
      <c r="AN582" s="31"/>
      <c r="AO582" s="31"/>
      <c r="AP582" s="31"/>
      <c r="AQ582" s="31"/>
      <c r="AR582" s="31"/>
      <c r="AS582" s="31"/>
      <c r="AT582" s="31"/>
      <c r="AU582" s="31"/>
      <c r="AV582" s="31"/>
      <c r="AW582" s="31"/>
      <c r="AX582" s="31"/>
      <c r="AY582" s="31"/>
      <c r="AZ582" s="31"/>
      <c r="BA582" s="31"/>
      <c r="BB582" s="31"/>
      <c r="BC582" s="31"/>
      <c r="BD582" s="31"/>
      <c r="BE582" s="31"/>
      <c r="BF582" s="31"/>
      <c r="BG582" s="31"/>
      <c r="BH582" s="31"/>
      <c r="BI582" s="31"/>
    </row>
    <row r="583" spans="38:61" x14ac:dyDescent="0.2">
      <c r="AL583" s="31"/>
      <c r="AM583" s="31"/>
      <c r="AN583" s="31"/>
      <c r="AO583" s="31"/>
      <c r="AP583" s="31"/>
      <c r="AQ583" s="31"/>
      <c r="AR583" s="31"/>
      <c r="AS583" s="31"/>
      <c r="AT583" s="31"/>
      <c r="AU583" s="31"/>
      <c r="AV583" s="31"/>
      <c r="AW583" s="31"/>
      <c r="AX583" s="31"/>
      <c r="AY583" s="31"/>
      <c r="AZ583" s="31"/>
      <c r="BA583" s="31"/>
      <c r="BB583" s="31"/>
      <c r="BC583" s="31"/>
      <c r="BD583" s="31"/>
      <c r="BE583" s="31"/>
      <c r="BF583" s="31"/>
      <c r="BG583" s="31"/>
      <c r="BH583" s="31"/>
      <c r="BI583" s="31"/>
    </row>
    <row r="584" spans="38:61" x14ac:dyDescent="0.2">
      <c r="AL584" s="31"/>
      <c r="AM584" s="31"/>
      <c r="AN584" s="31"/>
      <c r="AO584" s="31"/>
      <c r="AP584" s="31"/>
      <c r="AQ584" s="31"/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1"/>
      <c r="BD584" s="31"/>
      <c r="BE584" s="31"/>
      <c r="BF584" s="31"/>
      <c r="BG584" s="31"/>
      <c r="BH584" s="31"/>
      <c r="BI584" s="31"/>
    </row>
    <row r="585" spans="38:61" x14ac:dyDescent="0.2">
      <c r="AL585" s="31"/>
      <c r="AM585" s="31"/>
      <c r="AN585" s="31"/>
      <c r="AO585" s="31"/>
      <c r="AP585" s="31"/>
      <c r="AQ585" s="31"/>
      <c r="AR585" s="31"/>
      <c r="AS585" s="31"/>
      <c r="AT585" s="31"/>
      <c r="AU585" s="31"/>
      <c r="AV585" s="31"/>
      <c r="AW585" s="31"/>
      <c r="AX585" s="31"/>
      <c r="AY585" s="31"/>
      <c r="AZ585" s="31"/>
      <c r="BA585" s="31"/>
      <c r="BB585" s="31"/>
      <c r="BC585" s="31"/>
      <c r="BD585" s="31"/>
      <c r="BE585" s="31"/>
      <c r="BF585" s="31"/>
      <c r="BG585" s="31"/>
      <c r="BH585" s="31"/>
      <c r="BI585" s="31"/>
    </row>
    <row r="586" spans="38:61" x14ac:dyDescent="0.2">
      <c r="AL586" s="31"/>
      <c r="AM586" s="31"/>
      <c r="AN586" s="31"/>
      <c r="AO586" s="31"/>
      <c r="AP586" s="31"/>
      <c r="AQ586" s="31"/>
      <c r="AR586" s="31"/>
      <c r="AS586" s="31"/>
      <c r="AT586" s="31"/>
      <c r="AU586" s="31"/>
      <c r="AV586" s="31"/>
      <c r="AW586" s="31"/>
      <c r="AX586" s="31"/>
      <c r="AY586" s="31"/>
      <c r="AZ586" s="31"/>
      <c r="BA586" s="31"/>
      <c r="BB586" s="31"/>
      <c r="BC586" s="31"/>
      <c r="BD586" s="31"/>
      <c r="BE586" s="31"/>
      <c r="BF586" s="31"/>
      <c r="BG586" s="31"/>
      <c r="BH586" s="31"/>
      <c r="BI586" s="31"/>
    </row>
    <row r="587" spans="38:61" x14ac:dyDescent="0.2">
      <c r="AL587" s="31"/>
      <c r="AM587" s="31"/>
      <c r="AN587" s="31"/>
      <c r="AO587" s="31"/>
      <c r="AP587" s="31"/>
      <c r="AQ587" s="31"/>
      <c r="AR587" s="31"/>
      <c r="AS587" s="31"/>
      <c r="AT587" s="31"/>
      <c r="AU587" s="31"/>
      <c r="AV587" s="31"/>
      <c r="AW587" s="31"/>
      <c r="AX587" s="31"/>
      <c r="AY587" s="31"/>
      <c r="AZ587" s="31"/>
      <c r="BA587" s="31"/>
      <c r="BB587" s="31"/>
      <c r="BC587" s="31"/>
      <c r="BD587" s="31"/>
      <c r="BE587" s="31"/>
      <c r="BF587" s="31"/>
      <c r="BG587" s="31"/>
      <c r="BH587" s="31"/>
      <c r="BI587" s="31"/>
    </row>
    <row r="588" spans="38:61" x14ac:dyDescent="0.2">
      <c r="AL588" s="31"/>
      <c r="AM588" s="31"/>
      <c r="AN588" s="31"/>
      <c r="AO588" s="31"/>
      <c r="AP588" s="31"/>
      <c r="AQ588" s="31"/>
      <c r="AR588" s="31"/>
      <c r="AS588" s="31"/>
      <c r="AT588" s="31"/>
      <c r="AU588" s="31"/>
      <c r="AV588" s="31"/>
      <c r="AW588" s="31"/>
      <c r="AX588" s="31"/>
      <c r="AY588" s="31"/>
      <c r="AZ588" s="31"/>
      <c r="BA588" s="31"/>
      <c r="BB588" s="31"/>
      <c r="BC588" s="31"/>
      <c r="BD588" s="31"/>
      <c r="BE588" s="31"/>
      <c r="BF588" s="31"/>
      <c r="BG588" s="31"/>
      <c r="BH588" s="31"/>
      <c r="BI588" s="31"/>
    </row>
    <row r="589" spans="38:61" x14ac:dyDescent="0.2">
      <c r="AL589" s="31"/>
      <c r="AM589" s="31"/>
      <c r="AN589" s="31"/>
      <c r="AO589" s="31"/>
      <c r="AP589" s="31"/>
      <c r="AQ589" s="31"/>
      <c r="AR589" s="31"/>
      <c r="AS589" s="31"/>
      <c r="AT589" s="31"/>
      <c r="AU589" s="31"/>
      <c r="AV589" s="31"/>
      <c r="AW589" s="31"/>
      <c r="AX589" s="31"/>
      <c r="AY589" s="31"/>
      <c r="AZ589" s="31"/>
      <c r="BA589" s="31"/>
      <c r="BB589" s="31"/>
      <c r="BC589" s="31"/>
      <c r="BD589" s="31"/>
      <c r="BE589" s="31"/>
      <c r="BF589" s="31"/>
      <c r="BG589" s="31"/>
      <c r="BH589" s="31"/>
      <c r="BI589" s="31"/>
    </row>
    <row r="590" spans="38:61" x14ac:dyDescent="0.2">
      <c r="AL590" s="31"/>
      <c r="AM590" s="31"/>
      <c r="AN590" s="31"/>
      <c r="AO590" s="31"/>
      <c r="AP590" s="31"/>
      <c r="AQ590" s="31"/>
      <c r="AR590" s="31"/>
      <c r="AS590" s="31"/>
      <c r="AT590" s="31"/>
      <c r="AU590" s="31"/>
      <c r="AV590" s="31"/>
      <c r="AW590" s="31"/>
      <c r="AX590" s="31"/>
      <c r="AY590" s="31"/>
      <c r="AZ590" s="31"/>
      <c r="BA590" s="31"/>
      <c r="BB590" s="31"/>
      <c r="BC590" s="31"/>
      <c r="BD590" s="31"/>
      <c r="BE590" s="31"/>
      <c r="BF590" s="31"/>
      <c r="BG590" s="31"/>
      <c r="BH590" s="31"/>
      <c r="BI590" s="31"/>
    </row>
    <row r="591" spans="38:61" x14ac:dyDescent="0.2">
      <c r="AL591" s="31"/>
      <c r="AM591" s="31"/>
      <c r="AN591" s="31"/>
      <c r="AO591" s="31"/>
      <c r="AP591" s="31"/>
      <c r="AQ591" s="31"/>
      <c r="AR591" s="31"/>
      <c r="AS591" s="31"/>
      <c r="AT591" s="31"/>
      <c r="AU591" s="31"/>
      <c r="AV591" s="31"/>
      <c r="AW591" s="31"/>
      <c r="AX591" s="31"/>
      <c r="AY591" s="31"/>
      <c r="AZ591" s="31"/>
      <c r="BA591" s="31"/>
      <c r="BB591" s="31"/>
      <c r="BC591" s="31"/>
      <c r="BD591" s="31"/>
      <c r="BE591" s="31"/>
      <c r="BF591" s="31"/>
      <c r="BG591" s="31"/>
      <c r="BH591" s="31"/>
      <c r="BI591" s="31"/>
    </row>
    <row r="592" spans="38:61" x14ac:dyDescent="0.2">
      <c r="AL592" s="31"/>
      <c r="AM592" s="31"/>
      <c r="AN592" s="31"/>
      <c r="AO592" s="31"/>
      <c r="AP592" s="31"/>
      <c r="AQ592" s="31"/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31"/>
      <c r="BD592" s="31"/>
      <c r="BE592" s="31"/>
      <c r="BF592" s="31"/>
      <c r="BG592" s="31"/>
      <c r="BH592" s="31"/>
      <c r="BI592" s="31"/>
    </row>
    <row r="593" spans="38:61" x14ac:dyDescent="0.2">
      <c r="AL593" s="31"/>
      <c r="AM593" s="31"/>
      <c r="AN593" s="31"/>
      <c r="AO593" s="31"/>
      <c r="AP593" s="31"/>
      <c r="AQ593" s="31"/>
      <c r="AR593" s="31"/>
      <c r="AS593" s="31"/>
      <c r="AT593" s="31"/>
      <c r="AU593" s="31"/>
      <c r="AV593" s="31"/>
      <c r="AW593" s="31"/>
      <c r="AX593" s="31"/>
      <c r="AY593" s="31"/>
      <c r="AZ593" s="31"/>
      <c r="BA593" s="31"/>
      <c r="BB593" s="31"/>
      <c r="BC593" s="31"/>
      <c r="BD593" s="31"/>
      <c r="BE593" s="31"/>
      <c r="BF593" s="31"/>
      <c r="BG593" s="31"/>
      <c r="BH593" s="31"/>
      <c r="BI593" s="31"/>
    </row>
    <row r="594" spans="38:61" x14ac:dyDescent="0.2">
      <c r="AL594" s="31"/>
      <c r="AM594" s="31"/>
      <c r="AN594" s="31"/>
      <c r="AO594" s="31"/>
      <c r="AP594" s="31"/>
      <c r="AQ594" s="31"/>
      <c r="AR594" s="31"/>
      <c r="AS594" s="31"/>
      <c r="AT594" s="31"/>
      <c r="AU594" s="31"/>
      <c r="AV594" s="31"/>
      <c r="AW594" s="31"/>
      <c r="AX594" s="31"/>
      <c r="AY594" s="31"/>
      <c r="AZ594" s="31"/>
      <c r="BA594" s="31"/>
      <c r="BB594" s="31"/>
      <c r="BC594" s="31"/>
      <c r="BD594" s="31"/>
      <c r="BE594" s="31"/>
      <c r="BF594" s="31"/>
      <c r="BG594" s="31"/>
      <c r="BH594" s="31"/>
      <c r="BI594" s="31"/>
    </row>
    <row r="595" spans="38:61" x14ac:dyDescent="0.2">
      <c r="AL595" s="31"/>
      <c r="AM595" s="31"/>
      <c r="AN595" s="31"/>
      <c r="AO595" s="31"/>
      <c r="AP595" s="31"/>
      <c r="AQ595" s="31"/>
      <c r="AR595" s="31"/>
      <c r="AS595" s="31"/>
      <c r="AT595" s="31"/>
      <c r="AU595" s="31"/>
      <c r="AV595" s="31"/>
      <c r="AW595" s="31"/>
      <c r="AX595" s="31"/>
      <c r="AY595" s="31"/>
      <c r="AZ595" s="31"/>
      <c r="BA595" s="31"/>
      <c r="BB595" s="31"/>
      <c r="BC595" s="31"/>
      <c r="BD595" s="31"/>
      <c r="BE595" s="31"/>
      <c r="BF595" s="31"/>
      <c r="BG595" s="31"/>
      <c r="BH595" s="31"/>
      <c r="BI595" s="31"/>
    </row>
    <row r="596" spans="38:61" x14ac:dyDescent="0.2">
      <c r="AL596" s="31"/>
      <c r="AM596" s="31"/>
      <c r="AN596" s="31"/>
      <c r="AO596" s="31"/>
      <c r="AP596" s="31"/>
      <c r="AQ596" s="31"/>
      <c r="AR596" s="31"/>
      <c r="AS596" s="31"/>
      <c r="AT596" s="31"/>
      <c r="AU596" s="31"/>
      <c r="AV596" s="31"/>
      <c r="AW596" s="31"/>
      <c r="AX596" s="31"/>
      <c r="AY596" s="31"/>
      <c r="AZ596" s="31"/>
      <c r="BA596" s="31"/>
      <c r="BB596" s="31"/>
      <c r="BC596" s="31"/>
      <c r="BD596" s="31"/>
      <c r="BE596" s="31"/>
      <c r="BF596" s="31"/>
      <c r="BG596" s="31"/>
      <c r="BH596" s="31"/>
      <c r="BI596" s="31"/>
    </row>
    <row r="597" spans="38:61" x14ac:dyDescent="0.2">
      <c r="AL597" s="31"/>
      <c r="AM597" s="31"/>
      <c r="AN597" s="31"/>
      <c r="AO597" s="31"/>
      <c r="AP597" s="31"/>
      <c r="AQ597" s="31"/>
      <c r="AR597" s="31"/>
      <c r="AS597" s="31"/>
      <c r="AT597" s="31"/>
      <c r="AU597" s="31"/>
      <c r="AV597" s="31"/>
      <c r="AW597" s="31"/>
      <c r="AX597" s="31"/>
      <c r="AY597" s="31"/>
      <c r="AZ597" s="31"/>
      <c r="BA597" s="31"/>
      <c r="BB597" s="31"/>
      <c r="BC597" s="31"/>
      <c r="BD597" s="31"/>
      <c r="BE597" s="31"/>
      <c r="BF597" s="31"/>
      <c r="BG597" s="31"/>
      <c r="BH597" s="31"/>
      <c r="BI597" s="31"/>
    </row>
    <row r="598" spans="38:61" x14ac:dyDescent="0.2">
      <c r="AL598" s="31"/>
      <c r="AM598" s="31"/>
      <c r="AN598" s="31"/>
      <c r="AO598" s="31"/>
      <c r="AP598" s="31"/>
      <c r="AQ598" s="31"/>
      <c r="AR598" s="31"/>
      <c r="AS598" s="31"/>
      <c r="AT598" s="31"/>
      <c r="AU598" s="31"/>
      <c r="AV598" s="31"/>
      <c r="AW598" s="31"/>
      <c r="AX598" s="31"/>
      <c r="AY598" s="31"/>
      <c r="AZ598" s="31"/>
      <c r="BA598" s="31"/>
      <c r="BB598" s="31"/>
      <c r="BC598" s="31"/>
      <c r="BD598" s="31"/>
      <c r="BE598" s="31"/>
      <c r="BF598" s="31"/>
      <c r="BG598" s="31"/>
      <c r="BH598" s="31"/>
      <c r="BI598" s="31"/>
    </row>
    <row r="599" spans="38:61" x14ac:dyDescent="0.2">
      <c r="AL599" s="31"/>
      <c r="AM599" s="31"/>
      <c r="AN599" s="31"/>
      <c r="AO599" s="31"/>
      <c r="AP599" s="31"/>
      <c r="AQ599" s="31"/>
      <c r="AR599" s="31"/>
      <c r="AS599" s="31"/>
      <c r="AT599" s="31"/>
      <c r="AU599" s="31"/>
      <c r="AV599" s="31"/>
      <c r="AW599" s="31"/>
      <c r="AX599" s="31"/>
      <c r="AY599" s="31"/>
      <c r="AZ599" s="31"/>
      <c r="BA599" s="31"/>
      <c r="BB599" s="31"/>
      <c r="BC599" s="31"/>
      <c r="BD599" s="31"/>
      <c r="BE599" s="31"/>
      <c r="BF599" s="31"/>
      <c r="BG599" s="31"/>
      <c r="BH599" s="31"/>
      <c r="BI599" s="31"/>
    </row>
    <row r="600" spans="38:61" x14ac:dyDescent="0.2">
      <c r="AL600" s="31"/>
      <c r="AM600" s="31"/>
      <c r="AN600" s="31"/>
      <c r="AO600" s="31"/>
      <c r="AP600" s="31"/>
      <c r="AQ600" s="31"/>
      <c r="AR600" s="31"/>
      <c r="AS600" s="31"/>
      <c r="AT600" s="31"/>
      <c r="AU600" s="31"/>
      <c r="AV600" s="31"/>
      <c r="AW600" s="31"/>
      <c r="AX600" s="31"/>
      <c r="AY600" s="31"/>
      <c r="AZ600" s="31"/>
      <c r="BA600" s="31"/>
      <c r="BB600" s="31"/>
      <c r="BC600" s="31"/>
      <c r="BD600" s="31"/>
      <c r="BE600" s="31"/>
      <c r="BF600" s="31"/>
      <c r="BG600" s="31"/>
      <c r="BH600" s="31"/>
      <c r="BI600" s="31"/>
    </row>
    <row r="601" spans="38:61" x14ac:dyDescent="0.2">
      <c r="AL601" s="31"/>
      <c r="AM601" s="31"/>
      <c r="AN601" s="31"/>
      <c r="AO601" s="31"/>
      <c r="AP601" s="31"/>
      <c r="AQ601" s="31"/>
      <c r="AR601" s="31"/>
      <c r="AS601" s="31"/>
      <c r="AT601" s="31"/>
      <c r="AU601" s="31"/>
      <c r="AV601" s="31"/>
      <c r="AW601" s="31"/>
      <c r="AX601" s="31"/>
      <c r="AY601" s="31"/>
      <c r="AZ601" s="31"/>
      <c r="BA601" s="31"/>
      <c r="BB601" s="31"/>
      <c r="BC601" s="31"/>
      <c r="BD601" s="31"/>
      <c r="BE601" s="31"/>
      <c r="BF601" s="31"/>
      <c r="BG601" s="31"/>
      <c r="BH601" s="31"/>
      <c r="BI601" s="31"/>
    </row>
    <row r="602" spans="38:61" x14ac:dyDescent="0.2">
      <c r="AL602" s="31"/>
      <c r="AM602" s="31"/>
      <c r="AN602" s="31"/>
      <c r="AO602" s="31"/>
      <c r="AP602" s="31"/>
      <c r="AQ602" s="31"/>
      <c r="AR602" s="31"/>
      <c r="AS602" s="31"/>
      <c r="AT602" s="31"/>
      <c r="AU602" s="31"/>
      <c r="AV602" s="31"/>
      <c r="AW602" s="31"/>
      <c r="AX602" s="31"/>
      <c r="AY602" s="31"/>
      <c r="AZ602" s="31"/>
      <c r="BA602" s="31"/>
      <c r="BB602" s="31"/>
      <c r="BC602" s="31"/>
      <c r="BD602" s="31"/>
      <c r="BE602" s="31"/>
      <c r="BF602" s="31"/>
      <c r="BG602" s="31"/>
      <c r="BH602" s="31"/>
      <c r="BI602" s="31"/>
    </row>
    <row r="603" spans="38:61" x14ac:dyDescent="0.2">
      <c r="AL603" s="31"/>
      <c r="AM603" s="31"/>
      <c r="AN603" s="31"/>
      <c r="AO603" s="31"/>
      <c r="AP603" s="31"/>
      <c r="AQ603" s="31"/>
      <c r="AR603" s="31"/>
      <c r="AS603" s="31"/>
      <c r="AT603" s="31"/>
      <c r="AU603" s="31"/>
      <c r="AV603" s="31"/>
      <c r="AW603" s="31"/>
      <c r="AX603" s="31"/>
      <c r="AY603" s="31"/>
      <c r="AZ603" s="31"/>
      <c r="BA603" s="31"/>
      <c r="BB603" s="31"/>
      <c r="BC603" s="31"/>
      <c r="BD603" s="31"/>
      <c r="BE603" s="31"/>
      <c r="BF603" s="31"/>
      <c r="BG603" s="31"/>
      <c r="BH603" s="31"/>
      <c r="BI603" s="31"/>
    </row>
    <row r="604" spans="38:61" x14ac:dyDescent="0.2">
      <c r="AL604" s="31"/>
      <c r="AM604" s="31"/>
      <c r="AN604" s="31"/>
      <c r="AO604" s="31"/>
      <c r="AP604" s="31"/>
      <c r="AQ604" s="31"/>
      <c r="AR604" s="31"/>
      <c r="AS604" s="31"/>
      <c r="AT604" s="31"/>
      <c r="AU604" s="31"/>
      <c r="AV604" s="31"/>
      <c r="AW604" s="31"/>
      <c r="AX604" s="31"/>
      <c r="AY604" s="31"/>
      <c r="AZ604" s="31"/>
      <c r="BA604" s="31"/>
      <c r="BB604" s="31"/>
      <c r="BC604" s="31"/>
      <c r="BD604" s="31"/>
      <c r="BE604" s="31"/>
      <c r="BF604" s="31"/>
      <c r="BG604" s="31"/>
      <c r="BH604" s="31"/>
      <c r="BI604" s="31"/>
    </row>
    <row r="605" spans="38:61" x14ac:dyDescent="0.2">
      <c r="AL605" s="31"/>
      <c r="AM605" s="31"/>
      <c r="AN605" s="31"/>
      <c r="AO605" s="31"/>
      <c r="AP605" s="31"/>
      <c r="AQ605" s="31"/>
      <c r="AR605" s="31"/>
      <c r="AS605" s="31"/>
      <c r="AT605" s="31"/>
      <c r="AU605" s="31"/>
      <c r="AV605" s="31"/>
      <c r="AW605" s="31"/>
      <c r="AX605" s="31"/>
      <c r="AY605" s="31"/>
      <c r="AZ605" s="31"/>
      <c r="BA605" s="31"/>
      <c r="BB605" s="31"/>
      <c r="BC605" s="31"/>
      <c r="BD605" s="31"/>
      <c r="BE605" s="31"/>
      <c r="BF605" s="31"/>
      <c r="BG605" s="31"/>
      <c r="BH605" s="31"/>
      <c r="BI605" s="31"/>
    </row>
    <row r="606" spans="38:61" x14ac:dyDescent="0.2">
      <c r="AL606" s="31"/>
      <c r="AM606" s="31"/>
      <c r="AN606" s="31"/>
      <c r="AO606" s="31"/>
      <c r="AP606" s="31"/>
      <c r="AQ606" s="31"/>
      <c r="AR606" s="31"/>
      <c r="AS606" s="31"/>
      <c r="AT606" s="31"/>
      <c r="AU606" s="31"/>
      <c r="AV606" s="31"/>
      <c r="AW606" s="31"/>
      <c r="AX606" s="31"/>
      <c r="AY606" s="31"/>
      <c r="AZ606" s="31"/>
      <c r="BA606" s="31"/>
      <c r="BB606" s="31"/>
      <c r="BC606" s="31"/>
      <c r="BD606" s="31"/>
      <c r="BE606" s="31"/>
      <c r="BF606" s="31"/>
      <c r="BG606" s="31"/>
      <c r="BH606" s="31"/>
      <c r="BI606" s="31"/>
    </row>
    <row r="607" spans="38:61" x14ac:dyDescent="0.2">
      <c r="AL607" s="31"/>
      <c r="AM607" s="31"/>
      <c r="AN607" s="31"/>
      <c r="AO607" s="31"/>
      <c r="AP607" s="31"/>
      <c r="AQ607" s="31"/>
      <c r="AR607" s="31"/>
      <c r="AS607" s="31"/>
      <c r="AT607" s="31"/>
      <c r="AU607" s="31"/>
      <c r="AV607" s="31"/>
      <c r="AW607" s="31"/>
      <c r="AX607" s="31"/>
      <c r="AY607" s="31"/>
      <c r="AZ607" s="31"/>
      <c r="BA607" s="31"/>
      <c r="BB607" s="31"/>
      <c r="BC607" s="31"/>
      <c r="BD607" s="31"/>
      <c r="BE607" s="31"/>
      <c r="BF607" s="31"/>
      <c r="BG607" s="31"/>
      <c r="BH607" s="31"/>
      <c r="BI607" s="31"/>
    </row>
    <row r="608" spans="38:61" x14ac:dyDescent="0.2">
      <c r="AL608" s="31"/>
      <c r="AM608" s="31"/>
      <c r="AN608" s="31"/>
      <c r="AO608" s="31"/>
      <c r="AP608" s="31"/>
      <c r="AQ608" s="31"/>
      <c r="AR608" s="31"/>
      <c r="AS608" s="31"/>
      <c r="AT608" s="31"/>
      <c r="AU608" s="31"/>
      <c r="AV608" s="31"/>
      <c r="AW608" s="31"/>
      <c r="AX608" s="31"/>
      <c r="AY608" s="31"/>
      <c r="AZ608" s="31"/>
      <c r="BA608" s="31"/>
      <c r="BB608" s="31"/>
      <c r="BC608" s="31"/>
      <c r="BD608" s="31"/>
      <c r="BE608" s="31"/>
      <c r="BF608" s="31"/>
      <c r="BG608" s="31"/>
      <c r="BH608" s="31"/>
      <c r="BI608" s="31"/>
    </row>
    <row r="609" spans="38:61" x14ac:dyDescent="0.2">
      <c r="AL609" s="31"/>
      <c r="AM609" s="31"/>
      <c r="AN609" s="31"/>
      <c r="AO609" s="31"/>
      <c r="AP609" s="31"/>
      <c r="AQ609" s="31"/>
      <c r="AR609" s="31"/>
      <c r="AS609" s="31"/>
      <c r="AT609" s="31"/>
      <c r="AU609" s="31"/>
      <c r="AV609" s="31"/>
      <c r="AW609" s="31"/>
      <c r="AX609" s="31"/>
      <c r="AY609" s="31"/>
      <c r="AZ609" s="31"/>
      <c r="BA609" s="31"/>
      <c r="BB609" s="31"/>
      <c r="BC609" s="31"/>
      <c r="BD609" s="31"/>
      <c r="BE609" s="31"/>
      <c r="BF609" s="31"/>
      <c r="BG609" s="31"/>
      <c r="BH609" s="31"/>
      <c r="BI609" s="31"/>
    </row>
    <row r="610" spans="38:61" x14ac:dyDescent="0.2">
      <c r="AL610" s="31"/>
      <c r="AM610" s="31"/>
      <c r="AN610" s="31"/>
      <c r="AO610" s="31"/>
      <c r="AP610" s="31"/>
      <c r="AQ610" s="31"/>
      <c r="AR610" s="31"/>
      <c r="AS610" s="31"/>
      <c r="AT610" s="31"/>
      <c r="AU610" s="31"/>
      <c r="AV610" s="31"/>
      <c r="AW610" s="31"/>
      <c r="AX610" s="31"/>
      <c r="AY610" s="31"/>
      <c r="AZ610" s="31"/>
      <c r="BA610" s="31"/>
      <c r="BB610" s="31"/>
      <c r="BC610" s="31"/>
      <c r="BD610" s="31"/>
      <c r="BE610" s="31"/>
      <c r="BF610" s="31"/>
      <c r="BG610" s="31"/>
      <c r="BH610" s="31"/>
      <c r="BI610" s="31"/>
    </row>
    <row r="611" spans="38:61" x14ac:dyDescent="0.2">
      <c r="AL611" s="31"/>
      <c r="AM611" s="31"/>
      <c r="AN611" s="31"/>
      <c r="AO611" s="31"/>
      <c r="AP611" s="31"/>
      <c r="AQ611" s="31"/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31"/>
      <c r="BD611" s="31"/>
      <c r="BE611" s="31"/>
      <c r="BF611" s="31"/>
      <c r="BG611" s="31"/>
      <c r="BH611" s="31"/>
      <c r="BI611" s="31"/>
    </row>
    <row r="612" spans="38:61" x14ac:dyDescent="0.2">
      <c r="AL612" s="31"/>
      <c r="AM612" s="31"/>
      <c r="AN612" s="31"/>
      <c r="AO612" s="31"/>
      <c r="AP612" s="31"/>
      <c r="AQ612" s="31"/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  <c r="BG612" s="31"/>
      <c r="BH612" s="31"/>
      <c r="BI612" s="31"/>
    </row>
    <row r="613" spans="38:61" x14ac:dyDescent="0.2">
      <c r="AL613" s="31"/>
      <c r="AM613" s="31"/>
      <c r="AN613" s="31"/>
      <c r="AO613" s="31"/>
      <c r="AP613" s="31"/>
      <c r="AQ613" s="31"/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31"/>
      <c r="BD613" s="31"/>
      <c r="BE613" s="31"/>
      <c r="BF613" s="31"/>
      <c r="BG613" s="31"/>
      <c r="BH613" s="31"/>
      <c r="BI613" s="31"/>
    </row>
    <row r="614" spans="38:61" x14ac:dyDescent="0.2">
      <c r="AL614" s="31"/>
      <c r="AM614" s="31"/>
      <c r="AN614" s="31"/>
      <c r="AO614" s="31"/>
      <c r="AP614" s="31"/>
      <c r="AQ614" s="31"/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  <c r="BG614" s="31"/>
      <c r="BH614" s="31"/>
      <c r="BI614" s="31"/>
    </row>
    <row r="615" spans="38:61" x14ac:dyDescent="0.2">
      <c r="AL615" s="31"/>
      <c r="AM615" s="31"/>
      <c r="AN615" s="31"/>
      <c r="AO615" s="31"/>
      <c r="AP615" s="31"/>
      <c r="AQ615" s="31"/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31"/>
      <c r="BD615" s="31"/>
      <c r="BE615" s="31"/>
      <c r="BF615" s="31"/>
      <c r="BG615" s="31"/>
      <c r="BH615" s="31"/>
      <c r="BI615" s="31"/>
    </row>
    <row r="616" spans="38:61" x14ac:dyDescent="0.2">
      <c r="AL616" s="31"/>
      <c r="AM616" s="31"/>
      <c r="AN616" s="31"/>
      <c r="AO616" s="31"/>
      <c r="AP616" s="31"/>
      <c r="AQ616" s="31"/>
      <c r="AR616" s="31"/>
      <c r="AS616" s="31"/>
      <c r="AT616" s="31"/>
      <c r="AU616" s="31"/>
      <c r="AV616" s="31"/>
      <c r="AW616" s="31"/>
      <c r="AX616" s="31"/>
      <c r="AY616" s="31"/>
      <c r="AZ616" s="31"/>
      <c r="BA616" s="31"/>
      <c r="BB616" s="31"/>
      <c r="BC616" s="31"/>
      <c r="BD616" s="31"/>
      <c r="BE616" s="31"/>
      <c r="BF616" s="31"/>
      <c r="BG616" s="31"/>
      <c r="BH616" s="31"/>
      <c r="BI616" s="31"/>
    </row>
    <row r="617" spans="38:61" x14ac:dyDescent="0.2">
      <c r="AL617" s="31"/>
      <c r="AM617" s="31"/>
      <c r="AN617" s="31"/>
      <c r="AO617" s="31"/>
      <c r="AP617" s="31"/>
      <c r="AQ617" s="31"/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31"/>
      <c r="BD617" s="31"/>
      <c r="BE617" s="31"/>
      <c r="BF617" s="31"/>
      <c r="BG617" s="31"/>
      <c r="BH617" s="31"/>
      <c r="BI617" s="31"/>
    </row>
    <row r="618" spans="38:61" x14ac:dyDescent="0.2">
      <c r="AL618" s="31"/>
      <c r="AM618" s="31"/>
      <c r="AN618" s="31"/>
      <c r="AO618" s="31"/>
      <c r="AP618" s="31"/>
      <c r="AQ618" s="31"/>
      <c r="AR618" s="31"/>
      <c r="AS618" s="31"/>
      <c r="AT618" s="31"/>
      <c r="AU618" s="31"/>
      <c r="AV618" s="31"/>
      <c r="AW618" s="31"/>
      <c r="AX618" s="31"/>
      <c r="AY618" s="31"/>
      <c r="AZ618" s="31"/>
      <c r="BA618" s="31"/>
      <c r="BB618" s="31"/>
      <c r="BC618" s="31"/>
      <c r="BD618" s="31"/>
      <c r="BE618" s="31"/>
      <c r="BF618" s="31"/>
      <c r="BG618" s="31"/>
      <c r="BH618" s="31"/>
      <c r="BI618" s="31"/>
    </row>
    <row r="619" spans="38:61" x14ac:dyDescent="0.2">
      <c r="AL619" s="31"/>
      <c r="AM619" s="31"/>
      <c r="AN619" s="31"/>
      <c r="AO619" s="31"/>
      <c r="AP619" s="31"/>
      <c r="AQ619" s="31"/>
      <c r="AR619" s="31"/>
      <c r="AS619" s="31"/>
      <c r="AT619" s="31"/>
      <c r="AU619" s="31"/>
      <c r="AV619" s="31"/>
      <c r="AW619" s="31"/>
      <c r="AX619" s="31"/>
      <c r="AY619" s="31"/>
      <c r="AZ619" s="31"/>
      <c r="BA619" s="31"/>
      <c r="BB619" s="31"/>
      <c r="BC619" s="31"/>
      <c r="BD619" s="31"/>
      <c r="BE619" s="31"/>
      <c r="BF619" s="31"/>
      <c r="BG619" s="31"/>
      <c r="BH619" s="31"/>
      <c r="BI619" s="31"/>
    </row>
    <row r="620" spans="38:61" x14ac:dyDescent="0.2">
      <c r="AL620" s="31"/>
      <c r="AM620" s="31"/>
      <c r="AN620" s="31"/>
      <c r="AO620" s="31"/>
      <c r="AP620" s="31"/>
      <c r="AQ620" s="31"/>
      <c r="AR620" s="31"/>
      <c r="AS620" s="31"/>
      <c r="AT620" s="31"/>
      <c r="AU620" s="31"/>
      <c r="AV620" s="31"/>
      <c r="AW620" s="31"/>
      <c r="AX620" s="31"/>
      <c r="AY620" s="31"/>
      <c r="AZ620" s="31"/>
      <c r="BA620" s="31"/>
      <c r="BB620" s="31"/>
      <c r="BC620" s="31"/>
      <c r="BD620" s="31"/>
      <c r="BE620" s="31"/>
      <c r="BF620" s="31"/>
      <c r="BG620" s="31"/>
      <c r="BH620" s="31"/>
      <c r="BI620" s="31"/>
    </row>
    <row r="621" spans="38:61" x14ac:dyDescent="0.2">
      <c r="AL621" s="31"/>
      <c r="AM621" s="31"/>
      <c r="AN621" s="31"/>
      <c r="AO621" s="31"/>
      <c r="AP621" s="31"/>
      <c r="AQ621" s="31"/>
      <c r="AR621" s="31"/>
      <c r="AS621" s="31"/>
      <c r="AT621" s="31"/>
      <c r="AU621" s="31"/>
      <c r="AV621" s="31"/>
      <c r="AW621" s="31"/>
      <c r="AX621" s="31"/>
      <c r="AY621" s="31"/>
      <c r="AZ621" s="31"/>
      <c r="BA621" s="31"/>
      <c r="BB621" s="31"/>
      <c r="BC621" s="31"/>
      <c r="BD621" s="31"/>
      <c r="BE621" s="31"/>
      <c r="BF621" s="31"/>
      <c r="BG621" s="31"/>
      <c r="BH621" s="31"/>
      <c r="BI621" s="31"/>
    </row>
    <row r="622" spans="38:61" x14ac:dyDescent="0.2">
      <c r="AL622" s="31"/>
      <c r="AM622" s="31"/>
      <c r="AN622" s="31"/>
      <c r="AO622" s="31"/>
      <c r="AP622" s="31"/>
      <c r="AQ622" s="31"/>
      <c r="AR622" s="31"/>
      <c r="AS622" s="31"/>
      <c r="AT622" s="31"/>
      <c r="AU622" s="31"/>
      <c r="AV622" s="31"/>
      <c r="AW622" s="31"/>
      <c r="AX622" s="31"/>
      <c r="AY622" s="31"/>
      <c r="AZ622" s="31"/>
      <c r="BA622" s="31"/>
      <c r="BB622" s="31"/>
      <c r="BC622" s="31"/>
      <c r="BD622" s="31"/>
      <c r="BE622" s="31"/>
      <c r="BF622" s="31"/>
      <c r="BG622" s="31"/>
      <c r="BH622" s="31"/>
      <c r="BI622" s="31"/>
    </row>
    <row r="623" spans="38:61" x14ac:dyDescent="0.2">
      <c r="AL623" s="31"/>
      <c r="AM623" s="31"/>
      <c r="AN623" s="31"/>
      <c r="AO623" s="31"/>
      <c r="AP623" s="31"/>
      <c r="AQ623" s="31"/>
      <c r="AR623" s="31"/>
      <c r="AS623" s="31"/>
      <c r="AT623" s="31"/>
      <c r="AU623" s="31"/>
      <c r="AV623" s="31"/>
      <c r="AW623" s="31"/>
      <c r="AX623" s="31"/>
      <c r="AY623" s="31"/>
      <c r="AZ623" s="31"/>
      <c r="BA623" s="31"/>
      <c r="BB623" s="31"/>
      <c r="BC623" s="31"/>
      <c r="BD623" s="31"/>
      <c r="BE623" s="31"/>
      <c r="BF623" s="31"/>
      <c r="BG623" s="31"/>
      <c r="BH623" s="31"/>
      <c r="BI623" s="31"/>
    </row>
    <row r="624" spans="38:61" x14ac:dyDescent="0.2">
      <c r="AL624" s="31"/>
      <c r="AM624" s="31"/>
      <c r="AN624" s="31"/>
      <c r="AO624" s="31"/>
      <c r="AP624" s="31"/>
      <c r="AQ624" s="31"/>
      <c r="AR624" s="31"/>
      <c r="AS624" s="31"/>
      <c r="AT624" s="31"/>
      <c r="AU624" s="31"/>
      <c r="AV624" s="31"/>
      <c r="AW624" s="31"/>
      <c r="AX624" s="31"/>
      <c r="AY624" s="31"/>
      <c r="AZ624" s="31"/>
      <c r="BA624" s="31"/>
      <c r="BB624" s="31"/>
      <c r="BC624" s="31"/>
      <c r="BD624" s="31"/>
      <c r="BE624" s="31"/>
      <c r="BF624" s="31"/>
      <c r="BG624" s="31"/>
      <c r="BH624" s="31"/>
      <c r="BI624" s="31"/>
    </row>
    <row r="625" spans="38:61" x14ac:dyDescent="0.2">
      <c r="AL625" s="31"/>
      <c r="AM625" s="31"/>
      <c r="AN625" s="31"/>
      <c r="AO625" s="31"/>
      <c r="AP625" s="31"/>
      <c r="AQ625" s="31"/>
      <c r="AR625" s="31"/>
      <c r="AS625" s="31"/>
      <c r="AT625" s="31"/>
      <c r="AU625" s="31"/>
      <c r="AV625" s="31"/>
      <c r="AW625" s="31"/>
      <c r="AX625" s="31"/>
      <c r="AY625" s="31"/>
      <c r="AZ625" s="31"/>
      <c r="BA625" s="31"/>
      <c r="BB625" s="31"/>
      <c r="BC625" s="31"/>
      <c r="BD625" s="31"/>
      <c r="BE625" s="31"/>
      <c r="BF625" s="31"/>
      <c r="BG625" s="31"/>
      <c r="BH625" s="31"/>
      <c r="BI625" s="31"/>
    </row>
    <row r="626" spans="38:61" x14ac:dyDescent="0.2">
      <c r="AL626" s="31"/>
      <c r="AM626" s="31"/>
      <c r="AN626" s="31"/>
      <c r="AO626" s="31"/>
      <c r="AP626" s="31"/>
      <c r="AQ626" s="31"/>
      <c r="AR626" s="31"/>
      <c r="AS626" s="31"/>
      <c r="AT626" s="31"/>
      <c r="AU626" s="31"/>
      <c r="AV626" s="31"/>
      <c r="AW626" s="31"/>
      <c r="AX626" s="31"/>
      <c r="AY626" s="31"/>
      <c r="AZ626" s="31"/>
      <c r="BA626" s="31"/>
      <c r="BB626" s="31"/>
      <c r="BC626" s="31"/>
      <c r="BD626" s="31"/>
      <c r="BE626" s="31"/>
      <c r="BF626" s="31"/>
      <c r="BG626" s="31"/>
      <c r="BH626" s="31"/>
      <c r="BI626" s="31"/>
    </row>
    <row r="627" spans="38:61" x14ac:dyDescent="0.2">
      <c r="AL627" s="31"/>
      <c r="AM627" s="31"/>
      <c r="AN627" s="31"/>
      <c r="AO627" s="31"/>
      <c r="AP627" s="31"/>
      <c r="AQ627" s="31"/>
      <c r="AR627" s="31"/>
      <c r="AS627" s="31"/>
      <c r="AT627" s="31"/>
      <c r="AU627" s="31"/>
      <c r="AV627" s="31"/>
      <c r="AW627" s="31"/>
      <c r="AX627" s="31"/>
      <c r="AY627" s="31"/>
      <c r="AZ627" s="31"/>
      <c r="BA627" s="31"/>
      <c r="BB627" s="31"/>
      <c r="BC627" s="31"/>
      <c r="BD627" s="31"/>
      <c r="BE627" s="31"/>
      <c r="BF627" s="31"/>
      <c r="BG627" s="31"/>
      <c r="BH627" s="31"/>
      <c r="BI627" s="31"/>
    </row>
    <row r="628" spans="38:61" x14ac:dyDescent="0.2">
      <c r="AL628" s="31"/>
      <c r="AM628" s="31"/>
      <c r="AN628" s="31"/>
      <c r="AO628" s="31"/>
      <c r="AP628" s="31"/>
      <c r="AQ628" s="31"/>
      <c r="AR628" s="31"/>
      <c r="AS628" s="31"/>
      <c r="AT628" s="31"/>
      <c r="AU628" s="31"/>
      <c r="AV628" s="31"/>
      <c r="AW628" s="31"/>
      <c r="AX628" s="31"/>
      <c r="AY628" s="31"/>
      <c r="AZ628" s="31"/>
      <c r="BA628" s="31"/>
      <c r="BB628" s="31"/>
      <c r="BC628" s="31"/>
      <c r="BD628" s="31"/>
      <c r="BE628" s="31"/>
      <c r="BF628" s="31"/>
      <c r="BG628" s="31"/>
      <c r="BH628" s="31"/>
      <c r="BI628" s="31"/>
    </row>
    <row r="629" spans="38:61" x14ac:dyDescent="0.2">
      <c r="AL629" s="31"/>
      <c r="AM629" s="31"/>
      <c r="AN629" s="31"/>
      <c r="AO629" s="31"/>
      <c r="AP629" s="31"/>
      <c r="AQ629" s="31"/>
      <c r="AR629" s="31"/>
      <c r="AS629" s="31"/>
      <c r="AT629" s="31"/>
      <c r="AU629" s="31"/>
      <c r="AV629" s="31"/>
      <c r="AW629" s="31"/>
      <c r="AX629" s="31"/>
      <c r="AY629" s="31"/>
      <c r="AZ629" s="31"/>
      <c r="BA629" s="31"/>
      <c r="BB629" s="31"/>
      <c r="BC629" s="31"/>
      <c r="BD629" s="31"/>
      <c r="BE629" s="31"/>
      <c r="BF629" s="31"/>
      <c r="BG629" s="31"/>
      <c r="BH629" s="31"/>
      <c r="BI629" s="31"/>
    </row>
    <row r="630" spans="38:61" x14ac:dyDescent="0.2">
      <c r="AL630" s="31"/>
      <c r="AM630" s="31"/>
      <c r="AN630" s="31"/>
      <c r="AO630" s="31"/>
      <c r="AP630" s="31"/>
      <c r="AQ630" s="31"/>
      <c r="AR630" s="31"/>
      <c r="AS630" s="31"/>
      <c r="AT630" s="31"/>
      <c r="AU630" s="31"/>
      <c r="AV630" s="31"/>
      <c r="AW630" s="31"/>
      <c r="AX630" s="31"/>
      <c r="AY630" s="31"/>
      <c r="AZ630" s="31"/>
      <c r="BA630" s="31"/>
      <c r="BB630" s="31"/>
      <c r="BC630" s="31"/>
      <c r="BD630" s="31"/>
      <c r="BE630" s="31"/>
      <c r="BF630" s="31"/>
      <c r="BG630" s="31"/>
      <c r="BH630" s="31"/>
      <c r="BI630" s="31"/>
    </row>
    <row r="631" spans="38:61" x14ac:dyDescent="0.2">
      <c r="AL631" s="31"/>
      <c r="AM631" s="31"/>
      <c r="AN631" s="31"/>
      <c r="AO631" s="31"/>
      <c r="AP631" s="31"/>
      <c r="AQ631" s="31"/>
      <c r="AR631" s="31"/>
      <c r="AS631" s="31"/>
      <c r="AT631" s="31"/>
      <c r="AU631" s="31"/>
      <c r="AV631" s="31"/>
      <c r="AW631" s="31"/>
      <c r="AX631" s="31"/>
      <c r="AY631" s="31"/>
      <c r="AZ631" s="31"/>
      <c r="BA631" s="31"/>
      <c r="BB631" s="31"/>
      <c r="BC631" s="31"/>
      <c r="BD631" s="31"/>
      <c r="BE631" s="31"/>
      <c r="BF631" s="31"/>
      <c r="BG631" s="31"/>
      <c r="BH631" s="31"/>
      <c r="BI631" s="31"/>
    </row>
    <row r="632" spans="38:61" x14ac:dyDescent="0.2">
      <c r="AL632" s="31"/>
      <c r="AM632" s="31"/>
      <c r="AN632" s="31"/>
      <c r="AO632" s="31"/>
      <c r="AP632" s="31"/>
      <c r="AQ632" s="31"/>
      <c r="AR632" s="31"/>
      <c r="AS632" s="31"/>
      <c r="AT632" s="31"/>
      <c r="AU632" s="31"/>
      <c r="AV632" s="31"/>
      <c r="AW632" s="31"/>
      <c r="AX632" s="31"/>
      <c r="AY632" s="31"/>
      <c r="AZ632" s="31"/>
      <c r="BA632" s="31"/>
      <c r="BB632" s="31"/>
      <c r="BC632" s="31"/>
      <c r="BD632" s="31"/>
      <c r="BE632" s="31"/>
      <c r="BF632" s="31"/>
      <c r="BG632" s="31"/>
      <c r="BH632" s="31"/>
      <c r="BI632" s="31"/>
    </row>
    <row r="633" spans="38:61" x14ac:dyDescent="0.2">
      <c r="AL633" s="31"/>
      <c r="AM633" s="31"/>
      <c r="AN633" s="31"/>
      <c r="AO633" s="31"/>
      <c r="AP633" s="31"/>
      <c r="AQ633" s="31"/>
      <c r="AR633" s="31"/>
      <c r="AS633" s="31"/>
      <c r="AT633" s="31"/>
      <c r="AU633" s="31"/>
      <c r="AV633" s="31"/>
      <c r="AW633" s="31"/>
      <c r="AX633" s="31"/>
      <c r="AY633" s="31"/>
      <c r="AZ633" s="31"/>
      <c r="BA633" s="31"/>
      <c r="BB633" s="31"/>
      <c r="BC633" s="31"/>
      <c r="BD633" s="31"/>
      <c r="BE633" s="31"/>
      <c r="BF633" s="31"/>
      <c r="BG633" s="31"/>
      <c r="BH633" s="31"/>
      <c r="BI633" s="31"/>
    </row>
    <row r="634" spans="38:61" x14ac:dyDescent="0.2">
      <c r="AL634" s="31"/>
      <c r="AM634" s="31"/>
      <c r="AN634" s="31"/>
      <c r="AO634" s="31"/>
      <c r="AP634" s="31"/>
      <c r="AQ634" s="31"/>
      <c r="AR634" s="31"/>
      <c r="AS634" s="31"/>
      <c r="AT634" s="31"/>
      <c r="AU634" s="31"/>
      <c r="AV634" s="31"/>
      <c r="AW634" s="31"/>
      <c r="AX634" s="31"/>
      <c r="AY634" s="31"/>
      <c r="AZ634" s="31"/>
      <c r="BA634" s="31"/>
      <c r="BB634" s="31"/>
      <c r="BC634" s="31"/>
      <c r="BD634" s="31"/>
      <c r="BE634" s="31"/>
      <c r="BF634" s="31"/>
      <c r="BG634" s="31"/>
      <c r="BH634" s="31"/>
      <c r="BI634" s="31"/>
    </row>
    <row r="635" spans="38:61" x14ac:dyDescent="0.2">
      <c r="AL635" s="31"/>
      <c r="AM635" s="31"/>
      <c r="AN635" s="31"/>
      <c r="AO635" s="31"/>
      <c r="AP635" s="31"/>
      <c r="AQ635" s="31"/>
      <c r="AR635" s="31"/>
      <c r="AS635" s="31"/>
      <c r="AT635" s="31"/>
      <c r="AU635" s="31"/>
      <c r="AV635" s="31"/>
      <c r="AW635" s="31"/>
      <c r="AX635" s="31"/>
      <c r="AY635" s="31"/>
      <c r="AZ635" s="31"/>
      <c r="BA635" s="31"/>
      <c r="BB635" s="31"/>
      <c r="BC635" s="31"/>
      <c r="BD635" s="31"/>
      <c r="BE635" s="31"/>
      <c r="BF635" s="31"/>
      <c r="BG635" s="31"/>
      <c r="BH635" s="31"/>
      <c r="BI635" s="31"/>
    </row>
    <row r="636" spans="38:61" x14ac:dyDescent="0.2">
      <c r="AL636" s="31"/>
      <c r="AM636" s="31"/>
      <c r="AN636" s="31"/>
      <c r="AO636" s="31"/>
      <c r="AP636" s="31"/>
      <c r="AQ636" s="31"/>
      <c r="AR636" s="31"/>
      <c r="AS636" s="31"/>
      <c r="AT636" s="31"/>
      <c r="AU636" s="31"/>
      <c r="AV636" s="31"/>
      <c r="AW636" s="31"/>
      <c r="AX636" s="31"/>
      <c r="AY636" s="31"/>
      <c r="AZ636" s="31"/>
      <c r="BA636" s="31"/>
      <c r="BB636" s="31"/>
      <c r="BC636" s="31"/>
      <c r="BD636" s="31"/>
      <c r="BE636" s="31"/>
      <c r="BF636" s="31"/>
      <c r="BG636" s="31"/>
      <c r="BH636" s="31"/>
      <c r="BI636" s="31"/>
    </row>
    <row r="637" spans="38:61" x14ac:dyDescent="0.2">
      <c r="AL637" s="31"/>
      <c r="AM637" s="31"/>
      <c r="AN637" s="31"/>
      <c r="AO637" s="31"/>
      <c r="AP637" s="31"/>
      <c r="AQ637" s="31"/>
      <c r="AR637" s="31"/>
      <c r="AS637" s="31"/>
      <c r="AT637" s="31"/>
      <c r="AU637" s="31"/>
      <c r="AV637" s="31"/>
      <c r="AW637" s="31"/>
      <c r="AX637" s="31"/>
      <c r="AY637" s="31"/>
      <c r="AZ637" s="31"/>
      <c r="BA637" s="31"/>
      <c r="BB637" s="31"/>
      <c r="BC637" s="31"/>
      <c r="BD637" s="31"/>
      <c r="BE637" s="31"/>
      <c r="BF637" s="31"/>
      <c r="BG637" s="31"/>
      <c r="BH637" s="31"/>
      <c r="BI637" s="31"/>
    </row>
    <row r="638" spans="38:61" x14ac:dyDescent="0.2">
      <c r="AL638" s="31"/>
      <c r="AM638" s="31"/>
      <c r="AN638" s="31"/>
      <c r="AO638" s="31"/>
      <c r="AP638" s="31"/>
      <c r="AQ638" s="31"/>
      <c r="AR638" s="31"/>
      <c r="AS638" s="31"/>
      <c r="AT638" s="31"/>
      <c r="AU638" s="31"/>
      <c r="AV638" s="31"/>
      <c r="AW638" s="31"/>
      <c r="AX638" s="31"/>
      <c r="AY638" s="31"/>
      <c r="AZ638" s="31"/>
      <c r="BA638" s="31"/>
      <c r="BB638" s="31"/>
      <c r="BC638" s="31"/>
      <c r="BD638" s="31"/>
      <c r="BE638" s="31"/>
      <c r="BF638" s="31"/>
      <c r="BG638" s="31"/>
      <c r="BH638" s="31"/>
      <c r="BI638" s="31"/>
    </row>
    <row r="639" spans="38:61" x14ac:dyDescent="0.2">
      <c r="AL639" s="31"/>
      <c r="AM639" s="31"/>
      <c r="AN639" s="31"/>
      <c r="AO639" s="31"/>
      <c r="AP639" s="31"/>
      <c r="AQ639" s="31"/>
      <c r="AR639" s="31"/>
      <c r="AS639" s="31"/>
      <c r="AT639" s="31"/>
      <c r="AU639" s="31"/>
      <c r="AV639" s="31"/>
      <c r="AW639" s="31"/>
      <c r="AX639" s="31"/>
      <c r="AY639" s="31"/>
      <c r="AZ639" s="31"/>
      <c r="BA639" s="31"/>
      <c r="BB639" s="31"/>
      <c r="BC639" s="31"/>
      <c r="BD639" s="31"/>
      <c r="BE639" s="31"/>
      <c r="BF639" s="31"/>
      <c r="BG639" s="31"/>
      <c r="BH639" s="31"/>
      <c r="BI639" s="31"/>
    </row>
    <row r="640" spans="38:61" x14ac:dyDescent="0.2">
      <c r="AL640" s="31"/>
      <c r="AM640" s="31"/>
      <c r="AN640" s="31"/>
      <c r="AO640" s="31"/>
      <c r="AP640" s="31"/>
      <c r="AQ640" s="31"/>
      <c r="AR640" s="31"/>
      <c r="AS640" s="31"/>
      <c r="AT640" s="31"/>
      <c r="AU640" s="31"/>
      <c r="AV640" s="31"/>
      <c r="AW640" s="31"/>
      <c r="AX640" s="31"/>
      <c r="AY640" s="31"/>
      <c r="AZ640" s="31"/>
      <c r="BA640" s="31"/>
      <c r="BB640" s="31"/>
      <c r="BC640" s="31"/>
      <c r="BD640" s="31"/>
      <c r="BE640" s="31"/>
      <c r="BF640" s="31"/>
      <c r="BG640" s="31"/>
      <c r="BH640" s="31"/>
      <c r="BI640" s="31"/>
    </row>
    <row r="641" spans="38:61" x14ac:dyDescent="0.2">
      <c r="AL641" s="31"/>
      <c r="AM641" s="31"/>
      <c r="AN641" s="31"/>
      <c r="AO641" s="31"/>
      <c r="AP641" s="31"/>
      <c r="AQ641" s="31"/>
      <c r="AR641" s="31"/>
      <c r="AS641" s="31"/>
      <c r="AT641" s="31"/>
      <c r="AU641" s="31"/>
      <c r="AV641" s="31"/>
      <c r="AW641" s="31"/>
      <c r="AX641" s="31"/>
      <c r="AY641" s="31"/>
      <c r="AZ641" s="31"/>
      <c r="BA641" s="31"/>
      <c r="BB641" s="31"/>
      <c r="BC641" s="31"/>
      <c r="BD641" s="31"/>
      <c r="BE641" s="31"/>
      <c r="BF641" s="31"/>
      <c r="BG641" s="31"/>
      <c r="BH641" s="31"/>
      <c r="BI641" s="31"/>
    </row>
    <row r="642" spans="38:61" x14ac:dyDescent="0.2">
      <c r="AL642" s="31"/>
      <c r="AM642" s="31"/>
      <c r="AN642" s="31"/>
      <c r="AO642" s="31"/>
      <c r="AP642" s="31"/>
      <c r="AQ642" s="31"/>
      <c r="AR642" s="31"/>
      <c r="AS642" s="31"/>
      <c r="AT642" s="31"/>
      <c r="AU642" s="31"/>
      <c r="AV642" s="31"/>
      <c r="AW642" s="31"/>
      <c r="AX642" s="31"/>
      <c r="AY642" s="31"/>
      <c r="AZ642" s="31"/>
      <c r="BA642" s="31"/>
      <c r="BB642" s="31"/>
      <c r="BC642" s="31"/>
      <c r="BD642" s="31"/>
      <c r="BE642" s="31"/>
      <c r="BF642" s="31"/>
      <c r="BG642" s="31"/>
      <c r="BH642" s="31"/>
      <c r="BI642" s="31"/>
    </row>
    <row r="643" spans="38:61" x14ac:dyDescent="0.2">
      <c r="AL643" s="31"/>
      <c r="AM643" s="31"/>
      <c r="AN643" s="31"/>
      <c r="AO643" s="31"/>
      <c r="AP643" s="31"/>
      <c r="AQ643" s="31"/>
      <c r="AR643" s="31"/>
      <c r="AS643" s="31"/>
      <c r="AT643" s="31"/>
      <c r="AU643" s="31"/>
      <c r="AV643" s="31"/>
      <c r="AW643" s="31"/>
      <c r="AX643" s="31"/>
      <c r="AY643" s="31"/>
      <c r="AZ643" s="31"/>
      <c r="BA643" s="31"/>
      <c r="BB643" s="31"/>
      <c r="BC643" s="31"/>
      <c r="BD643" s="31"/>
      <c r="BE643" s="31"/>
      <c r="BF643" s="31"/>
      <c r="BG643" s="31"/>
      <c r="BH643" s="31"/>
      <c r="BI643" s="31"/>
    </row>
    <row r="644" spans="38:61" x14ac:dyDescent="0.2">
      <c r="AL644" s="31"/>
      <c r="AM644" s="31"/>
      <c r="AN644" s="31"/>
      <c r="AO644" s="31"/>
      <c r="AP644" s="31"/>
      <c r="AQ644" s="31"/>
      <c r="AR644" s="31"/>
      <c r="AS644" s="31"/>
      <c r="AT644" s="31"/>
      <c r="AU644" s="31"/>
      <c r="AV644" s="31"/>
      <c r="AW644" s="31"/>
      <c r="AX644" s="31"/>
      <c r="AY644" s="31"/>
      <c r="AZ644" s="31"/>
      <c r="BA644" s="31"/>
      <c r="BB644" s="31"/>
      <c r="BC644" s="31"/>
      <c r="BD644" s="31"/>
      <c r="BE644" s="31"/>
      <c r="BF644" s="31"/>
      <c r="BG644" s="31"/>
      <c r="BH644" s="31"/>
      <c r="BI644" s="31"/>
    </row>
    <row r="645" spans="38:61" x14ac:dyDescent="0.2">
      <c r="AL645" s="31"/>
      <c r="AM645" s="31"/>
      <c r="AN645" s="31"/>
      <c r="AO645" s="31"/>
      <c r="AP645" s="31"/>
      <c r="AQ645" s="31"/>
      <c r="AR645" s="31"/>
      <c r="AS645" s="31"/>
      <c r="AT645" s="31"/>
      <c r="AU645" s="31"/>
      <c r="AV645" s="31"/>
      <c r="AW645" s="31"/>
      <c r="AX645" s="31"/>
      <c r="AY645" s="31"/>
      <c r="AZ645" s="31"/>
      <c r="BA645" s="31"/>
      <c r="BB645" s="31"/>
      <c r="BC645" s="31"/>
      <c r="BD645" s="31"/>
      <c r="BE645" s="31"/>
      <c r="BF645" s="31"/>
      <c r="BG645" s="31"/>
      <c r="BH645" s="31"/>
      <c r="BI645" s="31"/>
    </row>
    <row r="646" spans="38:61" x14ac:dyDescent="0.2">
      <c r="AL646" s="31"/>
      <c r="AM646" s="31"/>
      <c r="AN646" s="31"/>
      <c r="AO646" s="31"/>
      <c r="AP646" s="31"/>
      <c r="AQ646" s="31"/>
      <c r="AR646" s="31"/>
      <c r="AS646" s="31"/>
      <c r="AT646" s="31"/>
      <c r="AU646" s="31"/>
      <c r="AV646" s="31"/>
      <c r="AW646" s="31"/>
      <c r="AX646" s="31"/>
      <c r="AY646" s="31"/>
      <c r="AZ646" s="31"/>
      <c r="BA646" s="31"/>
      <c r="BB646" s="31"/>
      <c r="BC646" s="31"/>
      <c r="BD646" s="31"/>
      <c r="BE646" s="31"/>
      <c r="BF646" s="31"/>
      <c r="BG646" s="31"/>
      <c r="BH646" s="31"/>
      <c r="BI646" s="31"/>
    </row>
    <row r="647" spans="38:61" x14ac:dyDescent="0.2">
      <c r="AL647" s="31"/>
      <c r="AM647" s="31"/>
      <c r="AN647" s="31"/>
      <c r="AO647" s="31"/>
      <c r="AP647" s="31"/>
      <c r="AQ647" s="31"/>
      <c r="AR647" s="31"/>
      <c r="AS647" s="31"/>
      <c r="AT647" s="31"/>
      <c r="AU647" s="31"/>
      <c r="AV647" s="31"/>
      <c r="AW647" s="31"/>
      <c r="AX647" s="31"/>
      <c r="AY647" s="31"/>
      <c r="AZ647" s="31"/>
      <c r="BA647" s="31"/>
      <c r="BB647" s="31"/>
      <c r="BC647" s="31"/>
      <c r="BD647" s="31"/>
      <c r="BE647" s="31"/>
      <c r="BF647" s="31"/>
      <c r="BG647" s="31"/>
      <c r="BH647" s="31"/>
      <c r="BI647" s="31"/>
    </row>
    <row r="648" spans="38:61" x14ac:dyDescent="0.2">
      <c r="AL648" s="31"/>
      <c r="AM648" s="31"/>
      <c r="AN648" s="31"/>
      <c r="AO648" s="31"/>
      <c r="AP648" s="31"/>
      <c r="AQ648" s="31"/>
      <c r="AR648" s="31"/>
      <c r="AS648" s="31"/>
      <c r="AT648" s="31"/>
      <c r="AU648" s="31"/>
      <c r="AV648" s="31"/>
      <c r="AW648" s="31"/>
      <c r="AX648" s="31"/>
      <c r="AY648" s="31"/>
      <c r="AZ648" s="31"/>
      <c r="BA648" s="31"/>
      <c r="BB648" s="31"/>
      <c r="BC648" s="31"/>
      <c r="BD648" s="31"/>
      <c r="BE648" s="31"/>
      <c r="BF648" s="31"/>
      <c r="BG648" s="31"/>
      <c r="BH648" s="31"/>
      <c r="BI648" s="31"/>
    </row>
    <row r="649" spans="38:61" x14ac:dyDescent="0.2">
      <c r="AL649" s="31"/>
      <c r="AM649" s="31"/>
      <c r="AN649" s="31"/>
      <c r="AO649" s="31"/>
      <c r="AP649" s="31"/>
      <c r="AQ649" s="31"/>
      <c r="AR649" s="31"/>
      <c r="AS649" s="31"/>
      <c r="AT649" s="31"/>
      <c r="AU649" s="31"/>
      <c r="AV649" s="31"/>
      <c r="AW649" s="31"/>
      <c r="AX649" s="31"/>
      <c r="AY649" s="31"/>
      <c r="AZ649" s="31"/>
      <c r="BA649" s="31"/>
      <c r="BB649" s="31"/>
      <c r="BC649" s="31"/>
      <c r="BD649" s="31"/>
      <c r="BE649" s="31"/>
      <c r="BF649" s="31"/>
      <c r="BG649" s="31"/>
      <c r="BH649" s="31"/>
      <c r="BI649" s="31"/>
    </row>
    <row r="650" spans="38:61" x14ac:dyDescent="0.2">
      <c r="AL650" s="31"/>
      <c r="AM650" s="31"/>
      <c r="AN650" s="31"/>
      <c r="AO650" s="31"/>
      <c r="AP650" s="31"/>
      <c r="AQ650" s="31"/>
      <c r="AR650" s="31"/>
      <c r="AS650" s="31"/>
      <c r="AT650" s="31"/>
      <c r="AU650" s="31"/>
      <c r="AV650" s="31"/>
      <c r="AW650" s="31"/>
      <c r="AX650" s="31"/>
      <c r="AY650" s="31"/>
      <c r="AZ650" s="31"/>
      <c r="BA650" s="31"/>
      <c r="BB650" s="31"/>
      <c r="BC650" s="31"/>
      <c r="BD650" s="31"/>
      <c r="BE650" s="31"/>
      <c r="BF650" s="31"/>
      <c r="BG650" s="31"/>
      <c r="BH650" s="31"/>
      <c r="BI650" s="31"/>
    </row>
    <row r="651" spans="38:61" x14ac:dyDescent="0.2">
      <c r="AL651" s="31"/>
      <c r="AM651" s="31"/>
      <c r="AN651" s="31"/>
      <c r="AO651" s="31"/>
      <c r="AP651" s="31"/>
      <c r="AQ651" s="31"/>
      <c r="AR651" s="31"/>
      <c r="AS651" s="31"/>
      <c r="AT651" s="31"/>
      <c r="AU651" s="31"/>
      <c r="AV651" s="31"/>
      <c r="AW651" s="31"/>
      <c r="AX651" s="31"/>
      <c r="AY651" s="31"/>
      <c r="AZ651" s="31"/>
      <c r="BA651" s="31"/>
      <c r="BB651" s="31"/>
      <c r="BC651" s="31"/>
      <c r="BD651" s="31"/>
      <c r="BE651" s="31"/>
      <c r="BF651" s="31"/>
      <c r="BG651" s="31"/>
      <c r="BH651" s="31"/>
      <c r="BI651" s="31"/>
    </row>
    <row r="652" spans="38:61" x14ac:dyDescent="0.2">
      <c r="AL652" s="31"/>
      <c r="AM652" s="31"/>
      <c r="AN652" s="31"/>
      <c r="AO652" s="31"/>
      <c r="AP652" s="31"/>
      <c r="AQ652" s="31"/>
      <c r="AR652" s="31"/>
      <c r="AS652" s="31"/>
      <c r="AT652" s="31"/>
      <c r="AU652" s="31"/>
      <c r="AV652" s="31"/>
      <c r="AW652" s="31"/>
      <c r="AX652" s="31"/>
      <c r="AY652" s="31"/>
      <c r="AZ652" s="31"/>
      <c r="BA652" s="31"/>
      <c r="BB652" s="31"/>
      <c r="BC652" s="31"/>
      <c r="BD652" s="31"/>
      <c r="BE652" s="31"/>
      <c r="BF652" s="31"/>
      <c r="BG652" s="31"/>
      <c r="BH652" s="31"/>
      <c r="BI652" s="31"/>
    </row>
    <row r="653" spans="38:61" x14ac:dyDescent="0.2">
      <c r="AL653" s="31"/>
      <c r="AM653" s="31"/>
      <c r="AN653" s="31"/>
      <c r="AO653" s="31"/>
      <c r="AP653" s="31"/>
      <c r="AQ653" s="31"/>
      <c r="AR653" s="31"/>
      <c r="AS653" s="31"/>
      <c r="AT653" s="31"/>
      <c r="AU653" s="31"/>
      <c r="AV653" s="31"/>
      <c r="AW653" s="31"/>
      <c r="AX653" s="31"/>
      <c r="AY653" s="31"/>
      <c r="AZ653" s="31"/>
      <c r="BA653" s="31"/>
      <c r="BB653" s="31"/>
      <c r="BC653" s="31"/>
      <c r="BD653" s="31"/>
      <c r="BE653" s="31"/>
      <c r="BF653" s="31"/>
      <c r="BG653" s="31"/>
      <c r="BH653" s="31"/>
      <c r="BI653" s="31"/>
    </row>
    <row r="654" spans="38:61" x14ac:dyDescent="0.2">
      <c r="AL654" s="31"/>
      <c r="AM654" s="31"/>
      <c r="AN654" s="31"/>
      <c r="AO654" s="31"/>
      <c r="AP654" s="31"/>
      <c r="AQ654" s="31"/>
      <c r="AR654" s="31"/>
      <c r="AS654" s="31"/>
      <c r="AT654" s="31"/>
      <c r="AU654" s="31"/>
      <c r="AV654" s="31"/>
      <c r="AW654" s="31"/>
      <c r="AX654" s="31"/>
      <c r="AY654" s="31"/>
      <c r="AZ654" s="31"/>
      <c r="BA654" s="31"/>
      <c r="BB654" s="31"/>
      <c r="BC654" s="31"/>
      <c r="BD654" s="31"/>
      <c r="BE654" s="31"/>
      <c r="BF654" s="31"/>
      <c r="BG654" s="31"/>
      <c r="BH654" s="31"/>
      <c r="BI654" s="31"/>
    </row>
    <row r="655" spans="38:61" x14ac:dyDescent="0.2">
      <c r="AL655" s="31"/>
      <c r="AM655" s="31"/>
      <c r="AN655" s="31"/>
      <c r="AO655" s="31"/>
      <c r="AP655" s="31"/>
      <c r="AQ655" s="31"/>
      <c r="AR655" s="31"/>
      <c r="AS655" s="31"/>
      <c r="AT655" s="31"/>
      <c r="AU655" s="31"/>
      <c r="AV655" s="31"/>
      <c r="AW655" s="31"/>
      <c r="AX655" s="31"/>
      <c r="AY655" s="31"/>
      <c r="AZ655" s="31"/>
      <c r="BA655" s="31"/>
      <c r="BB655" s="31"/>
      <c r="BC655" s="31"/>
      <c r="BD655" s="31"/>
      <c r="BE655" s="31"/>
      <c r="BF655" s="31"/>
      <c r="BG655" s="31"/>
      <c r="BH655" s="31"/>
      <c r="BI655" s="31"/>
    </row>
    <row r="656" spans="38:61" x14ac:dyDescent="0.2">
      <c r="AL656" s="31"/>
      <c r="AM656" s="31"/>
      <c r="AN656" s="31"/>
      <c r="AO656" s="31"/>
      <c r="AP656" s="31"/>
      <c r="AQ656" s="31"/>
      <c r="AR656" s="31"/>
      <c r="AS656" s="31"/>
      <c r="AT656" s="31"/>
      <c r="AU656" s="31"/>
      <c r="AV656" s="31"/>
      <c r="AW656" s="31"/>
      <c r="AX656" s="31"/>
      <c r="AY656" s="31"/>
      <c r="AZ656" s="31"/>
      <c r="BA656" s="31"/>
      <c r="BB656" s="31"/>
      <c r="BC656" s="31"/>
      <c r="BD656" s="31"/>
      <c r="BE656" s="31"/>
      <c r="BF656" s="31"/>
      <c r="BG656" s="31"/>
      <c r="BH656" s="31"/>
      <c r="BI656" s="31"/>
    </row>
    <row r="657" spans="38:61" x14ac:dyDescent="0.2">
      <c r="AL657" s="31"/>
      <c r="AM657" s="31"/>
      <c r="AN657" s="31"/>
      <c r="AO657" s="31"/>
      <c r="AP657" s="31"/>
      <c r="AQ657" s="31"/>
      <c r="AR657" s="31"/>
      <c r="AS657" s="31"/>
      <c r="AT657" s="31"/>
      <c r="AU657" s="31"/>
      <c r="AV657" s="31"/>
      <c r="AW657" s="31"/>
      <c r="AX657" s="31"/>
      <c r="AY657" s="31"/>
      <c r="AZ657" s="31"/>
      <c r="BA657" s="31"/>
      <c r="BB657" s="31"/>
      <c r="BC657" s="31"/>
      <c r="BD657" s="31"/>
      <c r="BE657" s="31"/>
      <c r="BF657" s="31"/>
      <c r="BG657" s="31"/>
      <c r="BH657" s="31"/>
      <c r="BI657" s="31"/>
    </row>
    <row r="658" spans="38:61" x14ac:dyDescent="0.2">
      <c r="AL658" s="31"/>
      <c r="AM658" s="31"/>
      <c r="AN658" s="31"/>
      <c r="AO658" s="31"/>
      <c r="AP658" s="31"/>
      <c r="AQ658" s="31"/>
      <c r="AR658" s="31"/>
      <c r="AS658" s="31"/>
      <c r="AT658" s="31"/>
      <c r="AU658" s="31"/>
      <c r="AV658" s="31"/>
      <c r="AW658" s="31"/>
      <c r="AX658" s="31"/>
      <c r="AY658" s="31"/>
      <c r="AZ658" s="31"/>
      <c r="BA658" s="31"/>
      <c r="BB658" s="31"/>
      <c r="BC658" s="31"/>
      <c r="BD658" s="31"/>
      <c r="BE658" s="31"/>
      <c r="BF658" s="31"/>
      <c r="BG658" s="31"/>
      <c r="BH658" s="31"/>
      <c r="BI658" s="31"/>
    </row>
    <row r="659" spans="38:61" x14ac:dyDescent="0.2">
      <c r="AL659" s="31"/>
      <c r="AM659" s="31"/>
      <c r="AN659" s="31"/>
      <c r="AO659" s="31"/>
      <c r="AP659" s="31"/>
      <c r="AQ659" s="31"/>
      <c r="AR659" s="31"/>
      <c r="AS659" s="31"/>
      <c r="AT659" s="31"/>
      <c r="AU659" s="31"/>
      <c r="AV659" s="31"/>
      <c r="AW659" s="31"/>
      <c r="AX659" s="31"/>
      <c r="AY659" s="31"/>
      <c r="AZ659" s="31"/>
      <c r="BA659" s="31"/>
      <c r="BB659" s="31"/>
      <c r="BC659" s="31"/>
      <c r="BD659" s="31"/>
      <c r="BE659" s="31"/>
      <c r="BF659" s="31"/>
      <c r="BG659" s="31"/>
      <c r="BH659" s="31"/>
      <c r="BI659" s="31"/>
    </row>
    <row r="660" spans="38:61" x14ac:dyDescent="0.2">
      <c r="AL660" s="31"/>
      <c r="AM660" s="31"/>
      <c r="AN660" s="31"/>
      <c r="AO660" s="31"/>
      <c r="AP660" s="31"/>
      <c r="AQ660" s="31"/>
      <c r="AR660" s="31"/>
      <c r="AS660" s="31"/>
      <c r="AT660" s="31"/>
      <c r="AU660" s="31"/>
      <c r="AV660" s="31"/>
      <c r="AW660" s="31"/>
      <c r="AX660" s="31"/>
      <c r="AY660" s="31"/>
      <c r="AZ660" s="31"/>
      <c r="BA660" s="31"/>
      <c r="BB660" s="31"/>
      <c r="BC660" s="31"/>
      <c r="BD660" s="31"/>
      <c r="BE660" s="31"/>
      <c r="BF660" s="31"/>
      <c r="BG660" s="31"/>
      <c r="BH660" s="31"/>
      <c r="BI660" s="31"/>
    </row>
    <row r="661" spans="38:61" x14ac:dyDescent="0.2">
      <c r="AL661" s="31"/>
      <c r="AM661" s="31"/>
      <c r="AN661" s="31"/>
      <c r="AO661" s="31"/>
      <c r="AP661" s="31"/>
      <c r="AQ661" s="31"/>
      <c r="AR661" s="31"/>
      <c r="AS661" s="31"/>
      <c r="AT661" s="31"/>
      <c r="AU661" s="31"/>
      <c r="AV661" s="31"/>
      <c r="AW661" s="31"/>
      <c r="AX661" s="31"/>
      <c r="AY661" s="31"/>
      <c r="AZ661" s="31"/>
      <c r="BA661" s="31"/>
      <c r="BB661" s="31"/>
      <c r="BC661" s="31"/>
      <c r="BD661" s="31"/>
      <c r="BE661" s="31"/>
      <c r="BF661" s="31"/>
      <c r="BG661" s="31"/>
      <c r="BH661" s="31"/>
      <c r="BI661" s="31"/>
    </row>
    <row r="662" spans="38:61" x14ac:dyDescent="0.2">
      <c r="AL662" s="31"/>
      <c r="AM662" s="31"/>
      <c r="AN662" s="31"/>
      <c r="AO662" s="31"/>
      <c r="AP662" s="31"/>
      <c r="AQ662" s="31"/>
      <c r="AR662" s="31"/>
      <c r="AS662" s="31"/>
      <c r="AT662" s="31"/>
      <c r="AU662" s="31"/>
      <c r="AV662" s="31"/>
      <c r="AW662" s="31"/>
      <c r="AX662" s="31"/>
      <c r="AY662" s="31"/>
      <c r="AZ662" s="31"/>
      <c r="BA662" s="31"/>
      <c r="BB662" s="31"/>
      <c r="BC662" s="31"/>
      <c r="BD662" s="31"/>
      <c r="BE662" s="31"/>
      <c r="BF662" s="31"/>
      <c r="BG662" s="31"/>
      <c r="BH662" s="31"/>
      <c r="BI662" s="31"/>
    </row>
    <row r="663" spans="38:61" x14ac:dyDescent="0.2">
      <c r="AL663" s="31"/>
      <c r="AM663" s="31"/>
      <c r="AN663" s="31"/>
      <c r="AO663" s="31"/>
      <c r="AP663" s="31"/>
      <c r="AQ663" s="31"/>
      <c r="AR663" s="31"/>
      <c r="AS663" s="31"/>
      <c r="AT663" s="31"/>
      <c r="AU663" s="31"/>
      <c r="AV663" s="31"/>
      <c r="AW663" s="31"/>
      <c r="AX663" s="31"/>
      <c r="AY663" s="31"/>
      <c r="AZ663" s="31"/>
      <c r="BA663" s="31"/>
      <c r="BB663" s="31"/>
      <c r="BC663" s="31"/>
      <c r="BD663" s="31"/>
      <c r="BE663" s="31"/>
      <c r="BF663" s="31"/>
      <c r="BG663" s="31"/>
      <c r="BH663" s="31"/>
      <c r="BI663" s="31"/>
    </row>
    <row r="664" spans="38:61" x14ac:dyDescent="0.2">
      <c r="AL664" s="31"/>
      <c r="AM664" s="31"/>
      <c r="AN664" s="31"/>
      <c r="AO664" s="31"/>
      <c r="AP664" s="31"/>
      <c r="AQ664" s="31"/>
      <c r="AR664" s="31"/>
      <c r="AS664" s="31"/>
      <c r="AT664" s="31"/>
      <c r="AU664" s="31"/>
      <c r="AV664" s="31"/>
      <c r="AW664" s="31"/>
      <c r="AX664" s="31"/>
      <c r="AY664" s="31"/>
      <c r="AZ664" s="31"/>
      <c r="BA664" s="31"/>
      <c r="BB664" s="31"/>
      <c r="BC664" s="31"/>
      <c r="BD664" s="31"/>
      <c r="BE664" s="31"/>
      <c r="BF664" s="31"/>
      <c r="BG664" s="31"/>
      <c r="BH664" s="31"/>
      <c r="BI664" s="31"/>
    </row>
    <row r="665" spans="38:61" x14ac:dyDescent="0.2">
      <c r="AL665" s="31"/>
      <c r="AM665" s="31"/>
      <c r="AN665" s="31"/>
      <c r="AO665" s="31"/>
      <c r="AP665" s="31"/>
      <c r="AQ665" s="31"/>
      <c r="AR665" s="31"/>
      <c r="AS665" s="31"/>
      <c r="AT665" s="31"/>
      <c r="AU665" s="31"/>
      <c r="AV665" s="31"/>
      <c r="AW665" s="31"/>
      <c r="AX665" s="31"/>
      <c r="AY665" s="31"/>
      <c r="AZ665" s="31"/>
      <c r="BA665" s="31"/>
      <c r="BB665" s="31"/>
      <c r="BC665" s="31"/>
      <c r="BD665" s="31"/>
      <c r="BE665" s="31"/>
      <c r="BF665" s="31"/>
      <c r="BG665" s="31"/>
      <c r="BH665" s="31"/>
      <c r="BI665" s="31"/>
    </row>
    <row r="666" spans="38:61" x14ac:dyDescent="0.2">
      <c r="AL666" s="31"/>
      <c r="AM666" s="31"/>
      <c r="AN666" s="31"/>
      <c r="AO666" s="31"/>
      <c r="AP666" s="31"/>
      <c r="AQ666" s="31"/>
      <c r="AR666" s="31"/>
      <c r="AS666" s="31"/>
      <c r="AT666" s="31"/>
      <c r="AU666" s="31"/>
      <c r="AV666" s="31"/>
      <c r="AW666" s="31"/>
      <c r="AX666" s="31"/>
      <c r="AY666" s="31"/>
      <c r="AZ666" s="31"/>
      <c r="BA666" s="31"/>
      <c r="BB666" s="31"/>
      <c r="BC666" s="31"/>
      <c r="BD666" s="31"/>
      <c r="BE666" s="31"/>
      <c r="BF666" s="31"/>
      <c r="BG666" s="31"/>
      <c r="BH666" s="31"/>
      <c r="BI666" s="31"/>
    </row>
    <row r="667" spans="38:61" x14ac:dyDescent="0.2">
      <c r="AL667" s="31"/>
      <c r="AM667" s="31"/>
      <c r="AN667" s="31"/>
      <c r="AO667" s="31"/>
      <c r="AP667" s="31"/>
      <c r="AQ667" s="31"/>
      <c r="AR667" s="31"/>
      <c r="AS667" s="31"/>
      <c r="AT667" s="31"/>
      <c r="AU667" s="31"/>
      <c r="AV667" s="31"/>
      <c r="AW667" s="31"/>
      <c r="AX667" s="31"/>
      <c r="AY667" s="31"/>
      <c r="AZ667" s="31"/>
      <c r="BA667" s="31"/>
      <c r="BB667" s="31"/>
      <c r="BC667" s="31"/>
      <c r="BD667" s="31"/>
      <c r="BE667" s="31"/>
      <c r="BF667" s="31"/>
      <c r="BG667" s="31"/>
      <c r="BH667" s="31"/>
      <c r="BI667" s="31"/>
    </row>
    <row r="668" spans="38:61" x14ac:dyDescent="0.2">
      <c r="AL668" s="31"/>
      <c r="AM668" s="31"/>
      <c r="AN668" s="31"/>
      <c r="AO668" s="31"/>
      <c r="AP668" s="31"/>
      <c r="AQ668" s="31"/>
      <c r="AR668" s="31"/>
      <c r="AS668" s="31"/>
      <c r="AT668" s="31"/>
      <c r="AU668" s="31"/>
      <c r="AV668" s="31"/>
      <c r="AW668" s="31"/>
      <c r="AX668" s="31"/>
      <c r="AY668" s="31"/>
      <c r="AZ668" s="31"/>
      <c r="BA668" s="31"/>
      <c r="BB668" s="31"/>
      <c r="BC668" s="31"/>
      <c r="BD668" s="31"/>
      <c r="BE668" s="31"/>
      <c r="BF668" s="31"/>
      <c r="BG668" s="31"/>
      <c r="BH668" s="31"/>
      <c r="BI668" s="31"/>
    </row>
    <row r="669" spans="38:61" x14ac:dyDescent="0.2">
      <c r="AL669" s="31"/>
      <c r="AM669" s="31"/>
      <c r="AN669" s="31"/>
      <c r="AO669" s="31"/>
      <c r="AP669" s="31"/>
      <c r="AQ669" s="31"/>
      <c r="AR669" s="31"/>
      <c r="AS669" s="31"/>
      <c r="AT669" s="31"/>
      <c r="AU669" s="31"/>
      <c r="AV669" s="31"/>
      <c r="AW669" s="31"/>
      <c r="AX669" s="31"/>
      <c r="AY669" s="31"/>
      <c r="AZ669" s="31"/>
      <c r="BA669" s="31"/>
      <c r="BB669" s="31"/>
      <c r="BC669" s="31"/>
      <c r="BD669" s="31"/>
      <c r="BE669" s="31"/>
      <c r="BF669" s="31"/>
      <c r="BG669" s="31"/>
      <c r="BH669" s="31"/>
      <c r="BI669" s="31"/>
    </row>
    <row r="670" spans="38:61" x14ac:dyDescent="0.2">
      <c r="AL670" s="31"/>
      <c r="AM670" s="31"/>
      <c r="AN670" s="31"/>
      <c r="AO670" s="31"/>
      <c r="AP670" s="31"/>
      <c r="AQ670" s="31"/>
      <c r="AR670" s="31"/>
      <c r="AS670" s="31"/>
      <c r="AT670" s="31"/>
      <c r="AU670" s="31"/>
      <c r="AV670" s="31"/>
      <c r="AW670" s="31"/>
      <c r="AX670" s="31"/>
      <c r="AY670" s="31"/>
      <c r="AZ670" s="31"/>
      <c r="BA670" s="31"/>
      <c r="BB670" s="31"/>
      <c r="BC670" s="31"/>
      <c r="BD670" s="31"/>
      <c r="BE670" s="31"/>
      <c r="BF670" s="31"/>
      <c r="BG670" s="31"/>
      <c r="BH670" s="31"/>
      <c r="BI670" s="31"/>
    </row>
    <row r="671" spans="38:61" x14ac:dyDescent="0.2">
      <c r="AL671" s="31"/>
      <c r="AM671" s="31"/>
      <c r="AN671" s="31"/>
      <c r="AO671" s="31"/>
      <c r="AP671" s="31"/>
      <c r="AQ671" s="31"/>
      <c r="AR671" s="31"/>
      <c r="AS671" s="31"/>
      <c r="AT671" s="31"/>
      <c r="AU671" s="31"/>
      <c r="AV671" s="31"/>
      <c r="AW671" s="31"/>
      <c r="AX671" s="31"/>
      <c r="AY671" s="31"/>
      <c r="AZ671" s="31"/>
      <c r="BA671" s="31"/>
      <c r="BB671" s="31"/>
      <c r="BC671" s="31"/>
      <c r="BD671" s="31"/>
      <c r="BE671" s="31"/>
      <c r="BF671" s="31"/>
      <c r="BG671" s="31"/>
      <c r="BH671" s="31"/>
      <c r="BI671" s="31"/>
    </row>
    <row r="672" spans="38:61" x14ac:dyDescent="0.2">
      <c r="AL672" s="31"/>
      <c r="AM672" s="31"/>
      <c r="AN672" s="31"/>
      <c r="AO672" s="31"/>
      <c r="AP672" s="31"/>
      <c r="AQ672" s="31"/>
      <c r="AR672" s="31"/>
      <c r="AS672" s="31"/>
      <c r="AT672" s="31"/>
      <c r="AU672" s="31"/>
      <c r="AV672" s="31"/>
      <c r="AW672" s="31"/>
      <c r="AX672" s="31"/>
      <c r="AY672" s="31"/>
      <c r="AZ672" s="31"/>
      <c r="BA672" s="31"/>
      <c r="BB672" s="31"/>
      <c r="BC672" s="31"/>
      <c r="BD672" s="31"/>
      <c r="BE672" s="31"/>
      <c r="BF672" s="31"/>
      <c r="BG672" s="31"/>
      <c r="BH672" s="31"/>
      <c r="BI672" s="31"/>
    </row>
    <row r="673" spans="38:61" x14ac:dyDescent="0.2">
      <c r="AL673" s="31"/>
      <c r="AM673" s="31"/>
      <c r="AN673" s="31"/>
      <c r="AO673" s="31"/>
      <c r="AP673" s="31"/>
      <c r="AQ673" s="31"/>
      <c r="AR673" s="31"/>
      <c r="AS673" s="31"/>
      <c r="AT673" s="31"/>
      <c r="AU673" s="31"/>
      <c r="AV673" s="31"/>
      <c r="AW673" s="31"/>
      <c r="AX673" s="31"/>
      <c r="AY673" s="31"/>
      <c r="AZ673" s="31"/>
      <c r="BA673" s="31"/>
      <c r="BB673" s="31"/>
      <c r="BC673" s="31"/>
      <c r="BD673" s="31"/>
      <c r="BE673" s="31"/>
      <c r="BF673" s="31"/>
      <c r="BG673" s="31"/>
      <c r="BH673" s="31"/>
      <c r="BI673" s="31"/>
    </row>
    <row r="674" spans="38:61" x14ac:dyDescent="0.2">
      <c r="AL674" s="31"/>
      <c r="AM674" s="31"/>
      <c r="AN674" s="31"/>
      <c r="AO674" s="31"/>
      <c r="AP674" s="31"/>
      <c r="AQ674" s="31"/>
      <c r="AR674" s="31"/>
      <c r="AS674" s="31"/>
      <c r="AT674" s="31"/>
      <c r="AU674" s="31"/>
      <c r="AV674" s="31"/>
      <c r="AW674" s="31"/>
      <c r="AX674" s="31"/>
      <c r="AY674" s="31"/>
      <c r="AZ674" s="31"/>
      <c r="BA674" s="31"/>
      <c r="BB674" s="31"/>
      <c r="BC674" s="31"/>
      <c r="BD674" s="31"/>
      <c r="BE674" s="31"/>
      <c r="BF674" s="31"/>
      <c r="BG674" s="31"/>
      <c r="BH674" s="31"/>
      <c r="BI674" s="31"/>
    </row>
    <row r="675" spans="38:61" x14ac:dyDescent="0.2">
      <c r="AL675" s="31"/>
      <c r="AM675" s="31"/>
      <c r="AN675" s="31"/>
      <c r="AO675" s="31"/>
      <c r="AP675" s="31"/>
      <c r="AQ675" s="31"/>
      <c r="AR675" s="31"/>
      <c r="AS675" s="31"/>
      <c r="AT675" s="31"/>
      <c r="AU675" s="31"/>
      <c r="AV675" s="31"/>
      <c r="AW675" s="31"/>
      <c r="AX675" s="31"/>
      <c r="AY675" s="31"/>
      <c r="AZ675" s="31"/>
      <c r="BA675" s="31"/>
      <c r="BB675" s="31"/>
      <c r="BC675" s="31"/>
      <c r="BD675" s="31"/>
      <c r="BE675" s="31"/>
      <c r="BF675" s="31"/>
      <c r="BG675" s="31"/>
      <c r="BH675" s="31"/>
      <c r="BI675" s="31"/>
    </row>
    <row r="676" spans="38:61" x14ac:dyDescent="0.2">
      <c r="AL676" s="31"/>
      <c r="AM676" s="31"/>
      <c r="AN676" s="31"/>
      <c r="AO676" s="31"/>
      <c r="AP676" s="31"/>
      <c r="AQ676" s="31"/>
      <c r="AR676" s="31"/>
      <c r="AS676" s="31"/>
      <c r="AT676" s="31"/>
      <c r="AU676" s="31"/>
      <c r="AV676" s="31"/>
      <c r="AW676" s="31"/>
      <c r="AX676" s="31"/>
      <c r="AY676" s="31"/>
      <c r="AZ676" s="31"/>
      <c r="BA676" s="31"/>
      <c r="BB676" s="31"/>
      <c r="BC676" s="31"/>
      <c r="BD676" s="31"/>
      <c r="BE676" s="31"/>
      <c r="BF676" s="31"/>
      <c r="BG676" s="31"/>
      <c r="BH676" s="31"/>
      <c r="BI676" s="31"/>
    </row>
    <row r="677" spans="38:61" x14ac:dyDescent="0.2">
      <c r="AL677" s="31"/>
      <c r="AM677" s="31"/>
      <c r="AN677" s="31"/>
      <c r="AO677" s="31"/>
      <c r="AP677" s="31"/>
      <c r="AQ677" s="31"/>
      <c r="AR677" s="31"/>
      <c r="AS677" s="31"/>
      <c r="AT677" s="31"/>
      <c r="AU677" s="31"/>
      <c r="AV677" s="31"/>
      <c r="AW677" s="31"/>
      <c r="AX677" s="31"/>
      <c r="AY677" s="31"/>
      <c r="AZ677" s="31"/>
      <c r="BA677" s="31"/>
      <c r="BB677" s="31"/>
      <c r="BC677" s="31"/>
      <c r="BD677" s="31"/>
      <c r="BE677" s="31"/>
      <c r="BF677" s="31"/>
      <c r="BG677" s="31"/>
      <c r="BH677" s="31"/>
      <c r="BI677" s="31"/>
    </row>
    <row r="678" spans="38:61" x14ac:dyDescent="0.2">
      <c r="AL678" s="31"/>
      <c r="AM678" s="31"/>
      <c r="AN678" s="31"/>
      <c r="AO678" s="31"/>
      <c r="AP678" s="31"/>
      <c r="AQ678" s="31"/>
      <c r="AR678" s="31"/>
      <c r="AS678" s="31"/>
      <c r="AT678" s="31"/>
      <c r="AU678" s="31"/>
      <c r="AV678" s="31"/>
      <c r="AW678" s="31"/>
      <c r="AX678" s="31"/>
      <c r="AY678" s="31"/>
      <c r="AZ678" s="31"/>
      <c r="BA678" s="31"/>
      <c r="BB678" s="31"/>
      <c r="BC678" s="31"/>
      <c r="BD678" s="31"/>
      <c r="BE678" s="31"/>
      <c r="BF678" s="31"/>
      <c r="BG678" s="31"/>
      <c r="BH678" s="31"/>
      <c r="BI678" s="31"/>
    </row>
    <row r="679" spans="38:61" x14ac:dyDescent="0.2">
      <c r="AL679" s="31"/>
      <c r="AM679" s="31"/>
      <c r="AN679" s="31"/>
      <c r="AO679" s="31"/>
      <c r="AP679" s="31"/>
      <c r="AQ679" s="31"/>
      <c r="AR679" s="31"/>
      <c r="AS679" s="31"/>
      <c r="AT679" s="31"/>
      <c r="AU679" s="31"/>
      <c r="AV679" s="31"/>
      <c r="AW679" s="31"/>
      <c r="AX679" s="31"/>
      <c r="AY679" s="31"/>
      <c r="AZ679" s="31"/>
      <c r="BA679" s="31"/>
      <c r="BB679" s="31"/>
      <c r="BC679" s="31"/>
      <c r="BD679" s="31"/>
      <c r="BE679" s="31"/>
      <c r="BF679" s="31"/>
      <c r="BG679" s="31"/>
      <c r="BH679" s="31"/>
      <c r="BI679" s="31"/>
    </row>
    <row r="680" spans="38:61" x14ac:dyDescent="0.2">
      <c r="AL680" s="31"/>
      <c r="AM680" s="31"/>
      <c r="AN680" s="31"/>
      <c r="AO680" s="31"/>
      <c r="AP680" s="31"/>
      <c r="AQ680" s="31"/>
      <c r="AR680" s="31"/>
      <c r="AS680" s="31"/>
      <c r="AT680" s="31"/>
      <c r="AU680" s="31"/>
      <c r="AV680" s="31"/>
      <c r="AW680" s="31"/>
      <c r="AX680" s="31"/>
      <c r="AY680" s="31"/>
      <c r="AZ680" s="31"/>
      <c r="BA680" s="31"/>
      <c r="BB680" s="31"/>
      <c r="BC680" s="31"/>
      <c r="BD680" s="31"/>
      <c r="BE680" s="31"/>
      <c r="BF680" s="31"/>
      <c r="BG680" s="31"/>
      <c r="BH680" s="31"/>
      <c r="BI680" s="31"/>
    </row>
    <row r="681" spans="38:61" x14ac:dyDescent="0.2">
      <c r="AL681" s="31"/>
      <c r="AM681" s="31"/>
      <c r="AN681" s="31"/>
      <c r="AO681" s="31"/>
      <c r="AP681" s="31"/>
      <c r="AQ681" s="31"/>
      <c r="AR681" s="31"/>
      <c r="AS681" s="31"/>
      <c r="AT681" s="31"/>
      <c r="AU681" s="31"/>
      <c r="AV681" s="31"/>
      <c r="AW681" s="31"/>
      <c r="AX681" s="31"/>
      <c r="AY681" s="31"/>
      <c r="AZ681" s="31"/>
      <c r="BA681" s="31"/>
      <c r="BB681" s="31"/>
      <c r="BC681" s="31"/>
      <c r="BD681" s="31"/>
      <c r="BE681" s="31"/>
      <c r="BF681" s="31"/>
      <c r="BG681" s="31"/>
      <c r="BH681" s="31"/>
      <c r="BI681" s="31"/>
    </row>
    <row r="682" spans="38:61" x14ac:dyDescent="0.2">
      <c r="AL682" s="31"/>
      <c r="AM682" s="31"/>
      <c r="AN682" s="31"/>
      <c r="AO682" s="31"/>
      <c r="AP682" s="31"/>
      <c r="AQ682" s="31"/>
      <c r="AR682" s="31"/>
      <c r="AS682" s="31"/>
      <c r="AT682" s="31"/>
      <c r="AU682" s="31"/>
      <c r="AV682" s="31"/>
      <c r="AW682" s="31"/>
      <c r="AX682" s="31"/>
      <c r="AY682" s="31"/>
      <c r="AZ682" s="31"/>
      <c r="BA682" s="31"/>
      <c r="BB682" s="31"/>
      <c r="BC682" s="31"/>
      <c r="BD682" s="31"/>
      <c r="BE682" s="31"/>
      <c r="BF682" s="31"/>
      <c r="BG682" s="31"/>
      <c r="BH682" s="31"/>
      <c r="BI682" s="31"/>
    </row>
    <row r="683" spans="38:61" x14ac:dyDescent="0.2">
      <c r="AL683" s="31"/>
      <c r="AM683" s="31"/>
      <c r="AN683" s="31"/>
      <c r="AO683" s="31"/>
      <c r="AP683" s="31"/>
      <c r="AQ683" s="31"/>
      <c r="AR683" s="31"/>
      <c r="AS683" s="31"/>
      <c r="AT683" s="31"/>
      <c r="AU683" s="31"/>
      <c r="AV683" s="31"/>
      <c r="AW683" s="31"/>
      <c r="AX683" s="31"/>
      <c r="AY683" s="31"/>
      <c r="AZ683" s="31"/>
      <c r="BA683" s="31"/>
      <c r="BB683" s="31"/>
      <c r="BC683" s="31"/>
      <c r="BD683" s="31"/>
      <c r="BE683" s="31"/>
      <c r="BF683" s="31"/>
      <c r="BG683" s="31"/>
      <c r="BH683" s="31"/>
      <c r="BI683" s="31"/>
    </row>
    <row r="684" spans="38:61" x14ac:dyDescent="0.2">
      <c r="AL684" s="31"/>
      <c r="AM684" s="31"/>
      <c r="AN684" s="31"/>
      <c r="AO684" s="31"/>
      <c r="AP684" s="31"/>
      <c r="AQ684" s="31"/>
      <c r="AR684" s="31"/>
      <c r="AS684" s="31"/>
      <c r="AT684" s="31"/>
      <c r="AU684" s="31"/>
      <c r="AV684" s="31"/>
      <c r="AW684" s="31"/>
      <c r="AX684" s="31"/>
      <c r="AY684" s="31"/>
      <c r="AZ684" s="31"/>
      <c r="BA684" s="31"/>
      <c r="BB684" s="31"/>
      <c r="BC684" s="31"/>
      <c r="BD684" s="31"/>
      <c r="BE684" s="31"/>
      <c r="BF684" s="31"/>
      <c r="BG684" s="31"/>
      <c r="BH684" s="31"/>
      <c r="BI684" s="31"/>
    </row>
    <row r="685" spans="38:61" x14ac:dyDescent="0.2">
      <c r="AL685" s="31"/>
      <c r="AM685" s="31"/>
      <c r="AN685" s="31"/>
      <c r="AO685" s="31"/>
      <c r="AP685" s="31"/>
      <c r="AQ685" s="31"/>
      <c r="AR685" s="31"/>
      <c r="AS685" s="31"/>
      <c r="AT685" s="31"/>
      <c r="AU685" s="31"/>
      <c r="AV685" s="31"/>
      <c r="AW685" s="31"/>
      <c r="AX685" s="31"/>
      <c r="AY685" s="31"/>
      <c r="AZ685" s="31"/>
      <c r="BA685" s="31"/>
      <c r="BB685" s="31"/>
      <c r="BC685" s="31"/>
      <c r="BD685" s="31"/>
      <c r="BE685" s="31"/>
      <c r="BF685" s="31"/>
      <c r="BG685" s="31"/>
      <c r="BH685" s="31"/>
      <c r="BI685" s="31"/>
    </row>
    <row r="686" spans="38:61" x14ac:dyDescent="0.2">
      <c r="AL686" s="31"/>
      <c r="AM686" s="31"/>
      <c r="AN686" s="31"/>
      <c r="AO686" s="31"/>
      <c r="AP686" s="31"/>
      <c r="AQ686" s="31"/>
      <c r="AR686" s="31"/>
      <c r="AS686" s="31"/>
      <c r="AT686" s="31"/>
      <c r="AU686" s="31"/>
      <c r="AV686" s="31"/>
      <c r="AW686" s="31"/>
      <c r="AX686" s="31"/>
      <c r="AY686" s="31"/>
      <c r="AZ686" s="31"/>
      <c r="BA686" s="31"/>
      <c r="BB686" s="31"/>
      <c r="BC686" s="31"/>
      <c r="BD686" s="31"/>
      <c r="BE686" s="31"/>
      <c r="BF686" s="31"/>
      <c r="BG686" s="31"/>
      <c r="BH686" s="31"/>
      <c r="BI686" s="31"/>
    </row>
    <row r="687" spans="38:61" x14ac:dyDescent="0.2">
      <c r="AL687" s="31"/>
      <c r="AM687" s="31"/>
      <c r="AN687" s="31"/>
      <c r="AO687" s="31"/>
      <c r="AP687" s="31"/>
      <c r="AQ687" s="31"/>
      <c r="AR687" s="31"/>
      <c r="AS687" s="31"/>
      <c r="AT687" s="31"/>
      <c r="AU687" s="31"/>
      <c r="AV687" s="31"/>
      <c r="AW687" s="31"/>
      <c r="AX687" s="31"/>
      <c r="AY687" s="31"/>
      <c r="AZ687" s="31"/>
      <c r="BA687" s="31"/>
      <c r="BB687" s="31"/>
      <c r="BC687" s="31"/>
      <c r="BD687" s="31"/>
      <c r="BE687" s="31"/>
      <c r="BF687" s="31"/>
      <c r="BG687" s="31"/>
      <c r="BH687" s="31"/>
      <c r="BI687" s="31"/>
    </row>
    <row r="688" spans="38:61" x14ac:dyDescent="0.2">
      <c r="AL688" s="31"/>
      <c r="AM688" s="31"/>
      <c r="AN688" s="31"/>
      <c r="AO688" s="31"/>
      <c r="AP688" s="31"/>
      <c r="AQ688" s="31"/>
      <c r="AR688" s="31"/>
      <c r="AS688" s="31"/>
      <c r="AT688" s="31"/>
      <c r="AU688" s="31"/>
      <c r="AV688" s="31"/>
      <c r="AW688" s="31"/>
      <c r="AX688" s="31"/>
      <c r="AY688" s="31"/>
      <c r="AZ688" s="31"/>
      <c r="BA688" s="31"/>
      <c r="BB688" s="31"/>
      <c r="BC688" s="31"/>
      <c r="BD688" s="31"/>
      <c r="BE688" s="31"/>
      <c r="BF688" s="31"/>
      <c r="BG688" s="31"/>
      <c r="BH688" s="31"/>
      <c r="BI688" s="31"/>
    </row>
    <row r="689" spans="38:61" x14ac:dyDescent="0.2">
      <c r="AL689" s="31"/>
      <c r="AM689" s="31"/>
      <c r="AN689" s="31"/>
      <c r="AO689" s="31"/>
      <c r="AP689" s="31"/>
      <c r="AQ689" s="31"/>
      <c r="AR689" s="31"/>
      <c r="AS689" s="31"/>
      <c r="AT689" s="31"/>
      <c r="AU689" s="31"/>
      <c r="AV689" s="31"/>
      <c r="AW689" s="31"/>
      <c r="AX689" s="31"/>
      <c r="AY689" s="31"/>
      <c r="AZ689" s="31"/>
      <c r="BA689" s="31"/>
      <c r="BB689" s="31"/>
      <c r="BC689" s="31"/>
      <c r="BD689" s="31"/>
      <c r="BE689" s="31"/>
      <c r="BF689" s="31"/>
      <c r="BG689" s="31"/>
      <c r="BH689" s="31"/>
      <c r="BI689" s="31"/>
    </row>
    <row r="690" spans="38:61" x14ac:dyDescent="0.2">
      <c r="AL690" s="31"/>
      <c r="AM690" s="31"/>
      <c r="AN690" s="31"/>
      <c r="AO690" s="31"/>
      <c r="AP690" s="31"/>
      <c r="AQ690" s="31"/>
      <c r="AR690" s="31"/>
      <c r="AS690" s="31"/>
      <c r="AT690" s="31"/>
      <c r="AU690" s="31"/>
      <c r="AV690" s="31"/>
      <c r="AW690" s="31"/>
      <c r="AX690" s="31"/>
      <c r="AY690" s="31"/>
      <c r="AZ690" s="31"/>
      <c r="BA690" s="31"/>
      <c r="BB690" s="31"/>
      <c r="BC690" s="31"/>
      <c r="BD690" s="31"/>
      <c r="BE690" s="31"/>
      <c r="BF690" s="31"/>
      <c r="BG690" s="31"/>
      <c r="BH690" s="31"/>
      <c r="BI690" s="31"/>
    </row>
    <row r="691" spans="38:61" x14ac:dyDescent="0.2">
      <c r="AL691" s="31"/>
      <c r="AM691" s="31"/>
      <c r="AN691" s="31"/>
      <c r="AO691" s="31"/>
      <c r="AP691" s="31"/>
      <c r="AQ691" s="31"/>
      <c r="AR691" s="31"/>
      <c r="AS691" s="31"/>
      <c r="AT691" s="31"/>
      <c r="AU691" s="31"/>
      <c r="AV691" s="31"/>
      <c r="AW691" s="31"/>
      <c r="AX691" s="31"/>
      <c r="AY691" s="31"/>
      <c r="AZ691" s="31"/>
      <c r="BA691" s="31"/>
      <c r="BB691" s="31"/>
      <c r="BC691" s="31"/>
      <c r="BD691" s="31"/>
      <c r="BE691" s="31"/>
      <c r="BF691" s="31"/>
      <c r="BG691" s="31"/>
      <c r="BH691" s="31"/>
      <c r="BI691" s="31"/>
    </row>
    <row r="692" spans="38:61" x14ac:dyDescent="0.2">
      <c r="AL692" s="31"/>
      <c r="AM692" s="31"/>
      <c r="AN692" s="31"/>
      <c r="AO692" s="31"/>
      <c r="AP692" s="31"/>
      <c r="AQ692" s="31"/>
      <c r="AR692" s="31"/>
      <c r="AS692" s="31"/>
      <c r="AT692" s="31"/>
      <c r="AU692" s="31"/>
      <c r="AV692" s="31"/>
      <c r="AW692" s="31"/>
      <c r="AX692" s="31"/>
      <c r="AY692" s="31"/>
      <c r="AZ692" s="31"/>
      <c r="BA692" s="31"/>
      <c r="BB692" s="31"/>
      <c r="BC692" s="31"/>
      <c r="BD692" s="31"/>
      <c r="BE692" s="31"/>
      <c r="BF692" s="31"/>
      <c r="BG692" s="31"/>
      <c r="BH692" s="31"/>
      <c r="BI692" s="31"/>
    </row>
    <row r="693" spans="38:61" x14ac:dyDescent="0.2">
      <c r="AL693" s="31"/>
      <c r="AM693" s="31"/>
      <c r="AN693" s="31"/>
      <c r="AO693" s="31"/>
      <c r="AP693" s="31"/>
      <c r="AQ693" s="31"/>
      <c r="AR693" s="31"/>
      <c r="AS693" s="31"/>
      <c r="AT693" s="31"/>
      <c r="AU693" s="31"/>
      <c r="AV693" s="31"/>
      <c r="AW693" s="31"/>
      <c r="AX693" s="31"/>
      <c r="AY693" s="31"/>
      <c r="AZ693" s="31"/>
      <c r="BA693" s="31"/>
      <c r="BB693" s="31"/>
      <c r="BC693" s="31"/>
      <c r="BD693" s="31"/>
      <c r="BE693" s="31"/>
      <c r="BF693" s="31"/>
      <c r="BG693" s="31"/>
      <c r="BH693" s="31"/>
      <c r="BI693" s="31"/>
    </row>
    <row r="694" spans="38:61" x14ac:dyDescent="0.2">
      <c r="AL694" s="31"/>
      <c r="AM694" s="31"/>
      <c r="AN694" s="31"/>
      <c r="AO694" s="31"/>
      <c r="AP694" s="31"/>
      <c r="AQ694" s="31"/>
      <c r="AR694" s="31"/>
      <c r="AS694" s="31"/>
      <c r="AT694" s="31"/>
      <c r="AU694" s="31"/>
      <c r="AV694" s="31"/>
      <c r="AW694" s="31"/>
      <c r="AX694" s="31"/>
      <c r="AY694" s="31"/>
      <c r="AZ694" s="31"/>
      <c r="BA694" s="31"/>
      <c r="BB694" s="31"/>
      <c r="BC694" s="31"/>
      <c r="BD694" s="31"/>
      <c r="BE694" s="31"/>
      <c r="BF694" s="31"/>
      <c r="BG694" s="31"/>
      <c r="BH694" s="31"/>
      <c r="BI694" s="31"/>
    </row>
    <row r="695" spans="38:61" x14ac:dyDescent="0.2">
      <c r="AL695" s="31"/>
      <c r="AM695" s="31"/>
      <c r="AN695" s="31"/>
      <c r="AO695" s="31"/>
      <c r="AP695" s="31"/>
      <c r="AQ695" s="31"/>
      <c r="AR695" s="31"/>
      <c r="AS695" s="31"/>
      <c r="AT695" s="31"/>
      <c r="AU695" s="31"/>
      <c r="AV695" s="31"/>
      <c r="AW695" s="31"/>
      <c r="AX695" s="31"/>
      <c r="AY695" s="31"/>
      <c r="AZ695" s="31"/>
      <c r="BA695" s="31"/>
      <c r="BB695" s="31"/>
      <c r="BC695" s="31"/>
      <c r="BD695" s="31"/>
      <c r="BE695" s="31"/>
      <c r="BF695" s="31"/>
      <c r="BG695" s="31"/>
      <c r="BH695" s="31"/>
      <c r="BI695" s="31"/>
    </row>
    <row r="696" spans="38:61" x14ac:dyDescent="0.2">
      <c r="AL696" s="31"/>
      <c r="AM696" s="31"/>
      <c r="AN696" s="31"/>
      <c r="AO696" s="31"/>
      <c r="AP696" s="31"/>
      <c r="AQ696" s="31"/>
      <c r="AR696" s="31"/>
      <c r="AS696" s="31"/>
      <c r="AT696" s="31"/>
      <c r="AU696" s="31"/>
      <c r="AV696" s="31"/>
      <c r="AW696" s="31"/>
      <c r="AX696" s="31"/>
      <c r="AY696" s="31"/>
      <c r="AZ696" s="31"/>
      <c r="BA696" s="31"/>
      <c r="BB696" s="31"/>
      <c r="BC696" s="31"/>
      <c r="BD696" s="31"/>
      <c r="BE696" s="31"/>
      <c r="BF696" s="31"/>
      <c r="BG696" s="31"/>
      <c r="BH696" s="31"/>
      <c r="BI696" s="31"/>
    </row>
    <row r="697" spans="38:61" x14ac:dyDescent="0.2">
      <c r="AL697" s="31"/>
      <c r="AM697" s="31"/>
      <c r="AN697" s="31"/>
      <c r="AO697" s="31"/>
      <c r="AP697" s="31"/>
      <c r="AQ697" s="31"/>
      <c r="AR697" s="31"/>
      <c r="AS697" s="31"/>
      <c r="AT697" s="31"/>
      <c r="AU697" s="31"/>
      <c r="AV697" s="31"/>
      <c r="AW697" s="31"/>
      <c r="AX697" s="31"/>
      <c r="AY697" s="31"/>
      <c r="AZ697" s="31"/>
      <c r="BA697" s="31"/>
      <c r="BB697" s="31"/>
      <c r="BC697" s="31"/>
      <c r="BD697" s="31"/>
      <c r="BE697" s="31"/>
      <c r="BF697" s="31"/>
      <c r="BG697" s="31"/>
      <c r="BH697" s="31"/>
      <c r="BI697" s="31"/>
    </row>
    <row r="698" spans="38:61" x14ac:dyDescent="0.2">
      <c r="AL698" s="31"/>
      <c r="AM698" s="31"/>
      <c r="AN698" s="31"/>
      <c r="AO698" s="31"/>
      <c r="AP698" s="31"/>
      <c r="AQ698" s="31"/>
      <c r="AR698" s="31"/>
      <c r="AS698" s="31"/>
      <c r="AT698" s="31"/>
      <c r="AU698" s="31"/>
      <c r="AV698" s="31"/>
      <c r="AW698" s="31"/>
      <c r="AX698" s="31"/>
      <c r="AY698" s="31"/>
      <c r="AZ698" s="31"/>
      <c r="BA698" s="31"/>
      <c r="BB698" s="31"/>
      <c r="BC698" s="31"/>
      <c r="BD698" s="31"/>
      <c r="BE698" s="31"/>
      <c r="BF698" s="31"/>
      <c r="BG698" s="31"/>
      <c r="BH698" s="31"/>
      <c r="BI698" s="31"/>
    </row>
    <row r="699" spans="38:61" x14ac:dyDescent="0.2">
      <c r="AL699" s="31"/>
      <c r="AM699" s="31"/>
      <c r="AN699" s="31"/>
      <c r="AO699" s="31"/>
      <c r="AP699" s="31"/>
      <c r="AQ699" s="31"/>
      <c r="AR699" s="31"/>
      <c r="AS699" s="31"/>
      <c r="AT699" s="31"/>
      <c r="AU699" s="31"/>
      <c r="AV699" s="31"/>
      <c r="AW699" s="31"/>
      <c r="AX699" s="31"/>
      <c r="AY699" s="31"/>
      <c r="AZ699" s="31"/>
      <c r="BA699" s="31"/>
      <c r="BB699" s="31"/>
      <c r="BC699" s="31"/>
      <c r="BD699" s="31"/>
      <c r="BE699" s="31"/>
      <c r="BF699" s="31"/>
      <c r="BG699" s="31"/>
      <c r="BH699" s="31"/>
      <c r="BI699" s="31"/>
    </row>
    <row r="700" spans="38:61" x14ac:dyDescent="0.2">
      <c r="AL700" s="31"/>
      <c r="AM700" s="31"/>
      <c r="AN700" s="31"/>
      <c r="AO700" s="31"/>
      <c r="AP700" s="31"/>
      <c r="AQ700" s="31"/>
      <c r="AR700" s="31"/>
      <c r="AS700" s="31"/>
      <c r="AT700" s="31"/>
      <c r="AU700" s="31"/>
      <c r="AV700" s="31"/>
      <c r="AW700" s="31"/>
      <c r="AX700" s="31"/>
      <c r="AY700" s="31"/>
      <c r="AZ700" s="31"/>
      <c r="BA700" s="31"/>
      <c r="BB700" s="31"/>
      <c r="BC700" s="31"/>
      <c r="BD700" s="31"/>
      <c r="BE700" s="31"/>
      <c r="BF700" s="31"/>
      <c r="BG700" s="31"/>
      <c r="BH700" s="31"/>
      <c r="BI700" s="31"/>
    </row>
    <row r="701" spans="38:61" x14ac:dyDescent="0.2">
      <c r="AL701" s="31"/>
      <c r="AM701" s="31"/>
      <c r="AN701" s="31"/>
      <c r="AO701" s="31"/>
      <c r="AP701" s="31"/>
      <c r="AQ701" s="31"/>
      <c r="AR701" s="31"/>
      <c r="AS701" s="31"/>
      <c r="AT701" s="31"/>
      <c r="AU701" s="31"/>
      <c r="AV701" s="31"/>
      <c r="AW701" s="31"/>
      <c r="AX701" s="31"/>
      <c r="AY701" s="31"/>
      <c r="AZ701" s="31"/>
      <c r="BA701" s="31"/>
      <c r="BB701" s="31"/>
      <c r="BC701" s="31"/>
      <c r="BD701" s="31"/>
      <c r="BE701" s="31"/>
      <c r="BF701" s="31"/>
      <c r="BG701" s="31"/>
      <c r="BH701" s="31"/>
      <c r="BI701" s="31"/>
    </row>
    <row r="702" spans="38:61" x14ac:dyDescent="0.2">
      <c r="AL702" s="31"/>
      <c r="AM702" s="31"/>
      <c r="AN702" s="31"/>
      <c r="AO702" s="31"/>
      <c r="AP702" s="31"/>
      <c r="AQ702" s="31"/>
      <c r="AR702" s="31"/>
      <c r="AS702" s="31"/>
      <c r="AT702" s="31"/>
      <c r="AU702" s="31"/>
      <c r="AV702" s="31"/>
      <c r="AW702" s="31"/>
      <c r="AX702" s="31"/>
      <c r="AY702" s="31"/>
      <c r="AZ702" s="31"/>
      <c r="BA702" s="31"/>
      <c r="BB702" s="31"/>
      <c r="BC702" s="31"/>
      <c r="BD702" s="31"/>
      <c r="BE702" s="31"/>
      <c r="BF702" s="31"/>
      <c r="BG702" s="31"/>
      <c r="BH702" s="31"/>
      <c r="BI702" s="31"/>
    </row>
    <row r="703" spans="38:61" x14ac:dyDescent="0.2">
      <c r="AL703" s="31"/>
      <c r="AM703" s="31"/>
      <c r="AN703" s="31"/>
      <c r="AO703" s="31"/>
      <c r="AP703" s="31"/>
      <c r="AQ703" s="31"/>
      <c r="AR703" s="31"/>
      <c r="AS703" s="31"/>
      <c r="AT703" s="31"/>
      <c r="AU703" s="31"/>
      <c r="AV703" s="31"/>
      <c r="AW703" s="31"/>
      <c r="AX703" s="31"/>
      <c r="AY703" s="31"/>
      <c r="AZ703" s="31"/>
      <c r="BA703" s="31"/>
      <c r="BB703" s="31"/>
      <c r="BC703" s="31"/>
      <c r="BD703" s="31"/>
      <c r="BE703" s="31"/>
      <c r="BF703" s="31"/>
      <c r="BG703" s="31"/>
      <c r="BH703" s="31"/>
      <c r="BI703" s="31"/>
    </row>
    <row r="704" spans="38:61" x14ac:dyDescent="0.2">
      <c r="AL704" s="31"/>
      <c r="AM704" s="31"/>
      <c r="AN704" s="31"/>
      <c r="AO704" s="31"/>
      <c r="AP704" s="31"/>
      <c r="AQ704" s="31"/>
      <c r="AR704" s="31"/>
      <c r="AS704" s="31"/>
      <c r="AT704" s="31"/>
      <c r="AU704" s="31"/>
      <c r="AV704" s="31"/>
      <c r="AW704" s="31"/>
      <c r="AX704" s="31"/>
      <c r="AY704" s="31"/>
      <c r="AZ704" s="31"/>
      <c r="BA704" s="31"/>
      <c r="BB704" s="31"/>
      <c r="BC704" s="31"/>
      <c r="BD704" s="31"/>
      <c r="BE704" s="31"/>
      <c r="BF704" s="31"/>
      <c r="BG704" s="31"/>
      <c r="BH704" s="31"/>
      <c r="BI704" s="31"/>
    </row>
    <row r="705" spans="38:61" x14ac:dyDescent="0.2">
      <c r="AL705" s="31"/>
      <c r="AM705" s="31"/>
      <c r="AN705" s="31"/>
      <c r="AO705" s="31"/>
      <c r="AP705" s="31"/>
      <c r="AQ705" s="31"/>
      <c r="AR705" s="31"/>
      <c r="AS705" s="31"/>
      <c r="AT705" s="31"/>
      <c r="AU705" s="31"/>
      <c r="AV705" s="31"/>
      <c r="AW705" s="31"/>
      <c r="AX705" s="31"/>
      <c r="AY705" s="31"/>
      <c r="AZ705" s="31"/>
      <c r="BA705" s="31"/>
      <c r="BB705" s="31"/>
      <c r="BC705" s="31"/>
      <c r="BD705" s="31"/>
      <c r="BE705" s="31"/>
      <c r="BF705" s="31"/>
      <c r="BG705" s="31"/>
      <c r="BH705" s="31"/>
      <c r="BI705" s="31"/>
    </row>
    <row r="706" spans="38:61" x14ac:dyDescent="0.2">
      <c r="AL706" s="31"/>
      <c r="AM706" s="31"/>
      <c r="AN706" s="31"/>
      <c r="AO706" s="31"/>
      <c r="AP706" s="31"/>
      <c r="AQ706" s="31"/>
      <c r="AR706" s="31"/>
      <c r="AS706" s="31"/>
      <c r="AT706" s="31"/>
      <c r="AU706" s="31"/>
      <c r="AV706" s="31"/>
      <c r="AW706" s="31"/>
      <c r="AX706" s="31"/>
      <c r="AY706" s="31"/>
      <c r="AZ706" s="31"/>
      <c r="BA706" s="31"/>
      <c r="BB706" s="31"/>
      <c r="BC706" s="31"/>
      <c r="BD706" s="31"/>
      <c r="BE706" s="31"/>
      <c r="BF706" s="31"/>
      <c r="BG706" s="31"/>
      <c r="BH706" s="31"/>
      <c r="BI706" s="31"/>
    </row>
    <row r="707" spans="38:61" x14ac:dyDescent="0.2">
      <c r="AL707" s="31"/>
      <c r="AM707" s="31"/>
      <c r="AN707" s="31"/>
      <c r="AO707" s="31"/>
      <c r="AP707" s="31"/>
      <c r="AQ707" s="31"/>
      <c r="AR707" s="31"/>
      <c r="AS707" s="31"/>
      <c r="AT707" s="31"/>
      <c r="AU707" s="31"/>
      <c r="AV707" s="31"/>
      <c r="AW707" s="31"/>
      <c r="AX707" s="31"/>
      <c r="AY707" s="31"/>
      <c r="AZ707" s="31"/>
      <c r="BA707" s="31"/>
      <c r="BB707" s="31"/>
      <c r="BC707" s="31"/>
      <c r="BD707" s="31"/>
      <c r="BE707" s="31"/>
      <c r="BF707" s="31"/>
      <c r="BG707" s="31"/>
      <c r="BH707" s="31"/>
      <c r="BI707" s="31"/>
    </row>
    <row r="708" spans="38:61" x14ac:dyDescent="0.2">
      <c r="AL708" s="31"/>
      <c r="AM708" s="31"/>
      <c r="AN708" s="31"/>
      <c r="AO708" s="31"/>
      <c r="AP708" s="31"/>
      <c r="AQ708" s="31"/>
      <c r="AR708" s="31"/>
      <c r="AS708" s="31"/>
      <c r="AT708" s="31"/>
      <c r="AU708" s="31"/>
      <c r="AV708" s="31"/>
      <c r="AW708" s="31"/>
      <c r="AX708" s="31"/>
      <c r="AY708" s="31"/>
      <c r="AZ708" s="31"/>
      <c r="BA708" s="31"/>
      <c r="BB708" s="31"/>
      <c r="BC708" s="31"/>
      <c r="BD708" s="31"/>
      <c r="BE708" s="31"/>
      <c r="BF708" s="31"/>
      <c r="BG708" s="31"/>
      <c r="BH708" s="31"/>
      <c r="BI708" s="31"/>
    </row>
    <row r="709" spans="38:61" x14ac:dyDescent="0.2">
      <c r="AL709" s="31"/>
      <c r="AM709" s="31"/>
      <c r="AN709" s="31"/>
      <c r="AO709" s="31"/>
      <c r="AP709" s="31"/>
      <c r="AQ709" s="31"/>
      <c r="AR709" s="31"/>
      <c r="AS709" s="31"/>
      <c r="AT709" s="31"/>
      <c r="AU709" s="31"/>
      <c r="AV709" s="31"/>
      <c r="AW709" s="31"/>
      <c r="AX709" s="31"/>
      <c r="AY709" s="31"/>
      <c r="AZ709" s="31"/>
      <c r="BA709" s="31"/>
      <c r="BB709" s="31"/>
      <c r="BC709" s="31"/>
      <c r="BD709" s="31"/>
      <c r="BE709" s="31"/>
      <c r="BF709" s="31"/>
      <c r="BG709" s="31"/>
      <c r="BH709" s="31"/>
      <c r="BI709" s="31"/>
    </row>
    <row r="710" spans="38:61" x14ac:dyDescent="0.2">
      <c r="AL710" s="31"/>
      <c r="AM710" s="31"/>
      <c r="AN710" s="31"/>
      <c r="AO710" s="31"/>
      <c r="AP710" s="31"/>
      <c r="AQ710" s="31"/>
      <c r="AR710" s="31"/>
      <c r="AS710" s="31"/>
      <c r="AT710" s="31"/>
      <c r="AU710" s="31"/>
      <c r="AV710" s="31"/>
      <c r="AW710" s="31"/>
      <c r="AX710" s="31"/>
      <c r="AY710" s="31"/>
      <c r="AZ710" s="31"/>
      <c r="BA710" s="31"/>
      <c r="BB710" s="31"/>
      <c r="BC710" s="31"/>
      <c r="BD710" s="31"/>
      <c r="BE710" s="31"/>
      <c r="BF710" s="31"/>
      <c r="BG710" s="31"/>
      <c r="BH710" s="31"/>
      <c r="BI710" s="31"/>
    </row>
    <row r="711" spans="38:61" x14ac:dyDescent="0.2">
      <c r="AL711" s="31"/>
      <c r="AM711" s="31"/>
      <c r="AN711" s="31"/>
      <c r="AO711" s="31"/>
      <c r="AP711" s="31"/>
      <c r="AQ711" s="31"/>
      <c r="AR711" s="31"/>
      <c r="AS711" s="31"/>
      <c r="AT711" s="31"/>
      <c r="AU711" s="31"/>
      <c r="AV711" s="31"/>
      <c r="AW711" s="31"/>
      <c r="AX711" s="31"/>
      <c r="AY711" s="31"/>
      <c r="AZ711" s="31"/>
      <c r="BA711" s="31"/>
      <c r="BB711" s="31"/>
      <c r="BC711" s="31"/>
      <c r="BD711" s="31"/>
      <c r="BE711" s="31"/>
      <c r="BF711" s="31"/>
      <c r="BG711" s="31"/>
      <c r="BH711" s="31"/>
      <c r="BI711" s="31"/>
    </row>
    <row r="712" spans="38:61" x14ac:dyDescent="0.2">
      <c r="AL712" s="31"/>
      <c r="AM712" s="31"/>
      <c r="AN712" s="31"/>
      <c r="AO712" s="31"/>
      <c r="AP712" s="31"/>
      <c r="AQ712" s="31"/>
      <c r="AR712" s="31"/>
      <c r="AS712" s="31"/>
      <c r="AT712" s="31"/>
      <c r="AU712" s="31"/>
      <c r="AV712" s="31"/>
      <c r="AW712" s="31"/>
      <c r="AX712" s="31"/>
      <c r="AY712" s="31"/>
      <c r="AZ712" s="31"/>
      <c r="BA712" s="31"/>
      <c r="BB712" s="31"/>
      <c r="BC712" s="31"/>
      <c r="BD712" s="31"/>
      <c r="BE712" s="31"/>
      <c r="BF712" s="31"/>
      <c r="BG712" s="31"/>
      <c r="BH712" s="31"/>
      <c r="BI712" s="31"/>
    </row>
    <row r="713" spans="38:61" x14ac:dyDescent="0.2">
      <c r="AL713" s="31"/>
      <c r="AM713" s="31"/>
      <c r="AN713" s="31"/>
      <c r="AO713" s="31"/>
      <c r="AP713" s="31"/>
      <c r="AQ713" s="31"/>
      <c r="AR713" s="31"/>
      <c r="AS713" s="31"/>
      <c r="AT713" s="31"/>
      <c r="AU713" s="31"/>
      <c r="AV713" s="31"/>
      <c r="AW713" s="31"/>
      <c r="AX713" s="31"/>
      <c r="AY713" s="31"/>
      <c r="AZ713" s="31"/>
      <c r="BA713" s="31"/>
      <c r="BB713" s="31"/>
      <c r="BC713" s="31"/>
      <c r="BD713" s="31"/>
      <c r="BE713" s="31"/>
      <c r="BF713" s="31"/>
      <c r="BG713" s="31"/>
      <c r="BH713" s="31"/>
      <c r="BI713" s="31"/>
    </row>
    <row r="714" spans="38:61" x14ac:dyDescent="0.2">
      <c r="AL714" s="31"/>
      <c r="AM714" s="31"/>
      <c r="AN714" s="31"/>
      <c r="AO714" s="31"/>
      <c r="AP714" s="31"/>
      <c r="AQ714" s="31"/>
      <c r="AR714" s="31"/>
      <c r="AS714" s="31"/>
      <c r="AT714" s="31"/>
      <c r="AU714" s="31"/>
      <c r="AV714" s="31"/>
      <c r="AW714" s="31"/>
      <c r="AX714" s="31"/>
      <c r="AY714" s="31"/>
      <c r="AZ714" s="31"/>
      <c r="BA714" s="31"/>
      <c r="BB714" s="31"/>
      <c r="BC714" s="31"/>
      <c r="BD714" s="31"/>
      <c r="BE714" s="31"/>
      <c r="BF714" s="31"/>
      <c r="BG714" s="31"/>
      <c r="BH714" s="31"/>
      <c r="BI714" s="31"/>
    </row>
    <row r="715" spans="38:61" x14ac:dyDescent="0.2">
      <c r="AL715" s="31"/>
      <c r="AM715" s="31"/>
      <c r="AN715" s="31"/>
      <c r="AO715" s="31"/>
      <c r="AP715" s="31"/>
      <c r="AQ715" s="31"/>
      <c r="AR715" s="31"/>
      <c r="AS715" s="31"/>
      <c r="AT715" s="31"/>
      <c r="AU715" s="31"/>
      <c r="AV715" s="31"/>
      <c r="AW715" s="31"/>
      <c r="AX715" s="31"/>
      <c r="AY715" s="31"/>
      <c r="AZ715" s="31"/>
      <c r="BA715" s="31"/>
      <c r="BB715" s="31"/>
      <c r="BC715" s="31"/>
      <c r="BD715" s="31"/>
      <c r="BE715" s="31"/>
      <c r="BF715" s="31"/>
      <c r="BG715" s="31"/>
      <c r="BH715" s="31"/>
      <c r="BI715" s="31"/>
    </row>
    <row r="716" spans="38:61" x14ac:dyDescent="0.2">
      <c r="AL716" s="31"/>
      <c r="AM716" s="31"/>
      <c r="AN716" s="31"/>
      <c r="AO716" s="31"/>
      <c r="AP716" s="31"/>
      <c r="AQ716" s="31"/>
      <c r="AR716" s="31"/>
      <c r="AS716" s="31"/>
      <c r="AT716" s="31"/>
      <c r="AU716" s="31"/>
      <c r="AV716" s="31"/>
      <c r="AW716" s="31"/>
      <c r="AX716" s="31"/>
      <c r="AY716" s="31"/>
      <c r="AZ716" s="31"/>
      <c r="BA716" s="31"/>
      <c r="BB716" s="31"/>
      <c r="BC716" s="31"/>
      <c r="BD716" s="31"/>
      <c r="BE716" s="31"/>
      <c r="BF716" s="31"/>
      <c r="BG716" s="31"/>
      <c r="BH716" s="31"/>
      <c r="BI716" s="31"/>
    </row>
    <row r="717" spans="38:61" x14ac:dyDescent="0.2">
      <c r="AL717" s="31"/>
      <c r="AM717" s="31"/>
      <c r="AN717" s="31"/>
      <c r="AO717" s="31"/>
      <c r="AP717" s="31"/>
      <c r="AQ717" s="31"/>
      <c r="AR717" s="31"/>
      <c r="AS717" s="31"/>
      <c r="AT717" s="31"/>
      <c r="AU717" s="31"/>
      <c r="AV717" s="31"/>
      <c r="AW717" s="31"/>
      <c r="AX717" s="31"/>
      <c r="AY717" s="31"/>
      <c r="AZ717" s="31"/>
      <c r="BA717" s="31"/>
      <c r="BB717" s="31"/>
      <c r="BC717" s="31"/>
      <c r="BD717" s="31"/>
      <c r="BE717" s="31"/>
      <c r="BF717" s="31"/>
      <c r="BG717" s="31"/>
      <c r="BH717" s="31"/>
      <c r="BI717" s="31"/>
    </row>
    <row r="718" spans="38:61" x14ac:dyDescent="0.2">
      <c r="AL718" s="31"/>
      <c r="AM718" s="31"/>
      <c r="AN718" s="31"/>
      <c r="AO718" s="31"/>
      <c r="AP718" s="31"/>
      <c r="AQ718" s="31"/>
      <c r="AR718" s="31"/>
      <c r="AS718" s="31"/>
      <c r="AT718" s="31"/>
      <c r="AU718" s="31"/>
      <c r="AV718" s="31"/>
      <c r="AW718" s="31"/>
      <c r="AX718" s="31"/>
      <c r="AY718" s="31"/>
      <c r="AZ718" s="31"/>
      <c r="BA718" s="31"/>
      <c r="BB718" s="31"/>
      <c r="BC718" s="31"/>
      <c r="BD718" s="31"/>
      <c r="BE718" s="31"/>
      <c r="BF718" s="31"/>
      <c r="BG718" s="31"/>
      <c r="BH718" s="31"/>
      <c r="BI718" s="31"/>
    </row>
    <row r="719" spans="38:61" x14ac:dyDescent="0.2">
      <c r="AL719" s="31"/>
      <c r="AM719" s="31"/>
      <c r="AN719" s="31"/>
      <c r="AO719" s="31"/>
      <c r="AP719" s="31"/>
      <c r="AQ719" s="31"/>
      <c r="AR719" s="31"/>
      <c r="AS719" s="31"/>
      <c r="AT719" s="31"/>
      <c r="AU719" s="31"/>
      <c r="AV719" s="31"/>
      <c r="AW719" s="31"/>
      <c r="AX719" s="31"/>
      <c r="AY719" s="31"/>
      <c r="AZ719" s="31"/>
      <c r="BA719" s="31"/>
      <c r="BB719" s="31"/>
      <c r="BC719" s="31"/>
      <c r="BD719" s="31"/>
      <c r="BE719" s="31"/>
      <c r="BF719" s="31"/>
      <c r="BG719" s="31"/>
      <c r="BH719" s="31"/>
      <c r="BI719" s="31"/>
    </row>
    <row r="720" spans="38:61" x14ac:dyDescent="0.2">
      <c r="AL720" s="31"/>
      <c r="AM720" s="31"/>
      <c r="AN720" s="31"/>
      <c r="AO720" s="31"/>
      <c r="AP720" s="31"/>
      <c r="AQ720" s="31"/>
      <c r="AR720" s="31"/>
      <c r="AS720" s="31"/>
      <c r="AT720" s="31"/>
      <c r="AU720" s="31"/>
      <c r="AV720" s="31"/>
      <c r="AW720" s="31"/>
      <c r="AX720" s="31"/>
      <c r="AY720" s="31"/>
      <c r="AZ720" s="31"/>
      <c r="BA720" s="31"/>
      <c r="BB720" s="31"/>
      <c r="BC720" s="31"/>
      <c r="BD720" s="31"/>
      <c r="BE720" s="31"/>
      <c r="BF720" s="31"/>
      <c r="BG720" s="31"/>
      <c r="BH720" s="31"/>
      <c r="BI720" s="31"/>
    </row>
    <row r="721" spans="38:61" x14ac:dyDescent="0.2">
      <c r="AL721" s="31"/>
      <c r="AM721" s="31"/>
      <c r="AN721" s="31"/>
      <c r="AO721" s="31"/>
      <c r="AP721" s="31"/>
      <c r="AQ721" s="31"/>
      <c r="AR721" s="31"/>
      <c r="AS721" s="31"/>
      <c r="AT721" s="31"/>
      <c r="AU721" s="31"/>
      <c r="AV721" s="31"/>
      <c r="AW721" s="31"/>
      <c r="AX721" s="31"/>
      <c r="AY721" s="31"/>
      <c r="AZ721" s="31"/>
      <c r="BA721" s="31"/>
      <c r="BB721" s="31"/>
      <c r="BC721" s="31"/>
      <c r="BD721" s="31"/>
      <c r="BE721" s="31"/>
      <c r="BF721" s="31"/>
      <c r="BG721" s="31"/>
      <c r="BH721" s="31"/>
      <c r="BI721" s="31"/>
    </row>
    <row r="722" spans="38:61" x14ac:dyDescent="0.2">
      <c r="AL722" s="31"/>
      <c r="AM722" s="31"/>
      <c r="AN722" s="31"/>
      <c r="AO722" s="31"/>
      <c r="AP722" s="31"/>
      <c r="AQ722" s="31"/>
      <c r="AR722" s="31"/>
      <c r="AS722" s="31"/>
      <c r="AT722" s="31"/>
      <c r="AU722" s="31"/>
      <c r="AV722" s="31"/>
      <c r="AW722" s="31"/>
      <c r="AX722" s="31"/>
      <c r="AY722" s="31"/>
      <c r="AZ722" s="31"/>
      <c r="BA722" s="31"/>
      <c r="BB722" s="31"/>
      <c r="BC722" s="31"/>
      <c r="BD722" s="31"/>
      <c r="BE722" s="31"/>
      <c r="BF722" s="31"/>
      <c r="BG722" s="31"/>
      <c r="BH722" s="31"/>
      <c r="BI722" s="31"/>
    </row>
    <row r="723" spans="38:61" x14ac:dyDescent="0.2">
      <c r="AL723" s="31"/>
      <c r="AM723" s="31"/>
      <c r="AN723" s="31"/>
      <c r="AO723" s="31"/>
      <c r="AP723" s="31"/>
      <c r="AQ723" s="31"/>
      <c r="AR723" s="31"/>
      <c r="AS723" s="31"/>
      <c r="AT723" s="31"/>
      <c r="AU723" s="31"/>
      <c r="AV723" s="31"/>
      <c r="AW723" s="31"/>
      <c r="AX723" s="31"/>
      <c r="AY723" s="31"/>
      <c r="AZ723" s="31"/>
      <c r="BA723" s="31"/>
      <c r="BB723" s="31"/>
      <c r="BC723" s="31"/>
      <c r="BD723" s="31"/>
      <c r="BE723" s="31"/>
      <c r="BF723" s="31"/>
      <c r="BG723" s="31"/>
      <c r="BH723" s="31"/>
      <c r="BI723" s="31"/>
    </row>
    <row r="724" spans="38:61" x14ac:dyDescent="0.2">
      <c r="AL724" s="31"/>
      <c r="AM724" s="31"/>
      <c r="AN724" s="31"/>
      <c r="AO724" s="31"/>
      <c r="AP724" s="31"/>
      <c r="AQ724" s="31"/>
      <c r="AR724" s="31"/>
      <c r="AS724" s="31"/>
      <c r="AT724" s="31"/>
      <c r="AU724" s="31"/>
      <c r="AV724" s="31"/>
      <c r="AW724" s="31"/>
      <c r="AX724" s="31"/>
      <c r="AY724" s="31"/>
      <c r="AZ724" s="31"/>
      <c r="BA724" s="31"/>
      <c r="BB724" s="31"/>
      <c r="BC724" s="31"/>
      <c r="BD724" s="31"/>
      <c r="BE724" s="31"/>
      <c r="BF724" s="31"/>
      <c r="BG724" s="31"/>
      <c r="BH724" s="31"/>
      <c r="BI724" s="31"/>
    </row>
    <row r="725" spans="38:61" x14ac:dyDescent="0.2">
      <c r="AL725" s="31"/>
      <c r="AM725" s="31"/>
      <c r="AN725" s="31"/>
      <c r="AO725" s="31"/>
      <c r="AP725" s="31"/>
      <c r="AQ725" s="31"/>
      <c r="AR725" s="31"/>
      <c r="AS725" s="31"/>
      <c r="AT725" s="31"/>
      <c r="AU725" s="31"/>
      <c r="AV725" s="31"/>
      <c r="AW725" s="31"/>
      <c r="AX725" s="31"/>
      <c r="AY725" s="31"/>
      <c r="AZ725" s="31"/>
      <c r="BA725" s="31"/>
      <c r="BB725" s="31"/>
      <c r="BC725" s="31"/>
      <c r="BD725" s="31"/>
      <c r="BE725" s="31"/>
      <c r="BF725" s="31"/>
      <c r="BG725" s="31"/>
      <c r="BH725" s="31"/>
      <c r="BI725" s="31"/>
    </row>
    <row r="726" spans="38:61" x14ac:dyDescent="0.2">
      <c r="AL726" s="31"/>
      <c r="AM726" s="31"/>
      <c r="AN726" s="31"/>
      <c r="AO726" s="31"/>
      <c r="AP726" s="31"/>
      <c r="AQ726" s="31"/>
      <c r="AR726" s="31"/>
      <c r="AS726" s="31"/>
      <c r="AT726" s="31"/>
      <c r="AU726" s="31"/>
      <c r="AV726" s="31"/>
      <c r="AW726" s="31"/>
      <c r="AX726" s="31"/>
      <c r="AY726" s="31"/>
      <c r="AZ726" s="31"/>
      <c r="BA726" s="31"/>
      <c r="BB726" s="31"/>
      <c r="BC726" s="31"/>
      <c r="BD726" s="31"/>
      <c r="BE726" s="31"/>
      <c r="BF726" s="31"/>
      <c r="BG726" s="31"/>
      <c r="BH726" s="31"/>
      <c r="BI726" s="31"/>
    </row>
    <row r="727" spans="38:61" x14ac:dyDescent="0.2">
      <c r="AL727" s="31"/>
      <c r="AM727" s="31"/>
      <c r="AN727" s="31"/>
      <c r="AO727" s="31"/>
      <c r="AP727" s="31"/>
      <c r="AQ727" s="31"/>
      <c r="AR727" s="31"/>
      <c r="AS727" s="31"/>
      <c r="AT727" s="31"/>
      <c r="AU727" s="31"/>
      <c r="AV727" s="31"/>
      <c r="AW727" s="31"/>
      <c r="AX727" s="31"/>
      <c r="AY727" s="31"/>
      <c r="AZ727" s="31"/>
      <c r="BA727" s="31"/>
      <c r="BB727" s="31"/>
      <c r="BC727" s="31"/>
      <c r="BD727" s="31"/>
      <c r="BE727" s="31"/>
      <c r="BF727" s="31"/>
      <c r="BG727" s="31"/>
      <c r="BH727" s="31"/>
      <c r="BI727" s="31"/>
    </row>
    <row r="728" spans="38:61" x14ac:dyDescent="0.2">
      <c r="AL728" s="31"/>
      <c r="AM728" s="31"/>
      <c r="AN728" s="31"/>
      <c r="AO728" s="31"/>
      <c r="AP728" s="31"/>
      <c r="AQ728" s="31"/>
      <c r="AR728" s="31"/>
      <c r="AS728" s="31"/>
      <c r="AT728" s="31"/>
      <c r="AU728" s="31"/>
      <c r="AV728" s="31"/>
      <c r="AW728" s="31"/>
      <c r="AX728" s="31"/>
      <c r="AY728" s="31"/>
      <c r="AZ728" s="31"/>
      <c r="BA728" s="31"/>
      <c r="BB728" s="31"/>
      <c r="BC728" s="31"/>
      <c r="BD728" s="31"/>
      <c r="BE728" s="31"/>
      <c r="BF728" s="31"/>
      <c r="BG728" s="31"/>
      <c r="BH728" s="31"/>
      <c r="BI728" s="31"/>
    </row>
    <row r="729" spans="38:61" x14ac:dyDescent="0.2">
      <c r="AL729" s="31"/>
      <c r="AM729" s="31"/>
      <c r="AN729" s="31"/>
      <c r="AO729" s="31"/>
      <c r="AP729" s="31"/>
      <c r="AQ729" s="31"/>
      <c r="AR729" s="31"/>
      <c r="AS729" s="31"/>
      <c r="AT729" s="31"/>
      <c r="AU729" s="31"/>
      <c r="AV729" s="31"/>
      <c r="AW729" s="31"/>
      <c r="AX729" s="31"/>
      <c r="AY729" s="31"/>
      <c r="AZ729" s="31"/>
      <c r="BA729" s="31"/>
      <c r="BB729" s="31"/>
      <c r="BC729" s="31"/>
      <c r="BD729" s="31"/>
      <c r="BE729" s="31"/>
      <c r="BF729" s="31"/>
      <c r="BG729" s="31"/>
      <c r="BH729" s="31"/>
      <c r="BI729" s="31"/>
    </row>
    <row r="730" spans="38:61" x14ac:dyDescent="0.2">
      <c r="AL730" s="31"/>
      <c r="AM730" s="31"/>
      <c r="AN730" s="31"/>
      <c r="AO730" s="31"/>
      <c r="AP730" s="31"/>
      <c r="AQ730" s="31"/>
      <c r="AR730" s="31"/>
      <c r="AS730" s="31"/>
      <c r="AT730" s="31"/>
      <c r="AU730" s="31"/>
      <c r="AV730" s="31"/>
      <c r="AW730" s="31"/>
      <c r="AX730" s="31"/>
      <c r="AY730" s="31"/>
      <c r="AZ730" s="31"/>
      <c r="BA730" s="31"/>
      <c r="BB730" s="31"/>
      <c r="BC730" s="31"/>
      <c r="BD730" s="31"/>
      <c r="BE730" s="31"/>
      <c r="BF730" s="31"/>
      <c r="BG730" s="31"/>
      <c r="BH730" s="31"/>
      <c r="BI730" s="31"/>
    </row>
    <row r="731" spans="38:61" x14ac:dyDescent="0.2">
      <c r="AL731" s="31"/>
      <c r="AM731" s="31"/>
      <c r="AN731" s="31"/>
      <c r="AO731" s="31"/>
      <c r="AP731" s="31"/>
      <c r="AQ731" s="31"/>
      <c r="AR731" s="31"/>
      <c r="AS731" s="31"/>
      <c r="AT731" s="31"/>
      <c r="AU731" s="31"/>
      <c r="AV731" s="31"/>
      <c r="AW731" s="31"/>
      <c r="AX731" s="31"/>
      <c r="AY731" s="31"/>
      <c r="AZ731" s="31"/>
      <c r="BA731" s="31"/>
      <c r="BB731" s="31"/>
      <c r="BC731" s="31"/>
      <c r="BD731" s="31"/>
      <c r="BE731" s="31"/>
      <c r="BF731" s="31"/>
      <c r="BG731" s="31"/>
      <c r="BH731" s="31"/>
      <c r="BI731" s="31"/>
    </row>
    <row r="732" spans="38:61" x14ac:dyDescent="0.2">
      <c r="AL732" s="31"/>
      <c r="AM732" s="31"/>
      <c r="AN732" s="31"/>
      <c r="AO732" s="31"/>
      <c r="AP732" s="31"/>
      <c r="AQ732" s="31"/>
      <c r="AR732" s="31"/>
      <c r="AS732" s="31"/>
      <c r="AT732" s="31"/>
      <c r="AU732" s="31"/>
      <c r="AV732" s="31"/>
      <c r="AW732" s="31"/>
      <c r="AX732" s="31"/>
      <c r="AY732" s="31"/>
      <c r="AZ732" s="31"/>
      <c r="BA732" s="31"/>
      <c r="BB732" s="31"/>
      <c r="BC732" s="31"/>
      <c r="BD732" s="31"/>
      <c r="BE732" s="31"/>
      <c r="BF732" s="31"/>
      <c r="BG732" s="31"/>
      <c r="BH732" s="31"/>
      <c r="BI732" s="31"/>
    </row>
    <row r="733" spans="38:61" x14ac:dyDescent="0.2">
      <c r="AL733" s="31"/>
      <c r="AM733" s="31"/>
      <c r="AN733" s="31"/>
      <c r="AO733" s="31"/>
      <c r="AP733" s="31"/>
      <c r="AQ733" s="31"/>
      <c r="AR733" s="31"/>
      <c r="AS733" s="31"/>
      <c r="AT733" s="31"/>
      <c r="AU733" s="31"/>
      <c r="AV733" s="31"/>
      <c r="AW733" s="31"/>
      <c r="AX733" s="31"/>
      <c r="AY733" s="31"/>
      <c r="AZ733" s="31"/>
      <c r="BA733" s="31"/>
      <c r="BB733" s="31"/>
      <c r="BC733" s="31"/>
      <c r="BD733" s="31"/>
      <c r="BE733" s="31"/>
      <c r="BF733" s="31"/>
      <c r="BG733" s="31"/>
      <c r="BH733" s="31"/>
      <c r="BI733" s="31"/>
    </row>
    <row r="734" spans="38:61" x14ac:dyDescent="0.2">
      <c r="AL734" s="31"/>
      <c r="AM734" s="31"/>
      <c r="AN734" s="31"/>
      <c r="AO734" s="31"/>
      <c r="AP734" s="31"/>
      <c r="AQ734" s="31"/>
      <c r="AR734" s="31"/>
      <c r="AS734" s="31"/>
      <c r="AT734" s="31"/>
      <c r="AU734" s="31"/>
      <c r="AV734" s="31"/>
      <c r="AW734" s="31"/>
      <c r="AX734" s="31"/>
      <c r="AY734" s="31"/>
      <c r="AZ734" s="31"/>
      <c r="BA734" s="31"/>
      <c r="BB734" s="31"/>
      <c r="BC734" s="31"/>
      <c r="BD734" s="31"/>
      <c r="BE734" s="31"/>
      <c r="BF734" s="31"/>
      <c r="BG734" s="31"/>
      <c r="BH734" s="31"/>
      <c r="BI734" s="31"/>
    </row>
    <row r="735" spans="38:61" x14ac:dyDescent="0.2">
      <c r="AL735" s="31"/>
      <c r="AM735" s="31"/>
      <c r="AN735" s="31"/>
      <c r="AO735" s="31"/>
      <c r="AP735" s="31"/>
      <c r="AQ735" s="31"/>
      <c r="AR735" s="31"/>
      <c r="AS735" s="31"/>
      <c r="AT735" s="31"/>
      <c r="AU735" s="31"/>
      <c r="AV735" s="31"/>
      <c r="AW735" s="31"/>
      <c r="AX735" s="31"/>
      <c r="AY735" s="31"/>
      <c r="AZ735" s="31"/>
      <c r="BA735" s="31"/>
      <c r="BB735" s="31"/>
      <c r="BC735" s="31"/>
      <c r="BD735" s="31"/>
      <c r="BE735" s="31"/>
      <c r="BF735" s="31"/>
      <c r="BG735" s="31"/>
      <c r="BH735" s="31"/>
      <c r="BI735" s="31"/>
    </row>
    <row r="736" spans="38:61" x14ac:dyDescent="0.2">
      <c r="AL736" s="31"/>
      <c r="AM736" s="31"/>
      <c r="AN736" s="31"/>
      <c r="AO736" s="31"/>
      <c r="AP736" s="31"/>
      <c r="AQ736" s="31"/>
      <c r="AR736" s="31"/>
      <c r="AS736" s="31"/>
      <c r="AT736" s="31"/>
      <c r="AU736" s="31"/>
      <c r="AV736" s="31"/>
      <c r="AW736" s="31"/>
      <c r="AX736" s="31"/>
      <c r="AY736" s="31"/>
      <c r="AZ736" s="31"/>
      <c r="BA736" s="31"/>
      <c r="BB736" s="31"/>
      <c r="BC736" s="31"/>
      <c r="BD736" s="31"/>
      <c r="BE736" s="31"/>
      <c r="BF736" s="31"/>
      <c r="BG736" s="31"/>
      <c r="BH736" s="31"/>
      <c r="BI736" s="31"/>
    </row>
    <row r="737" spans="38:61" x14ac:dyDescent="0.2">
      <c r="AL737" s="31"/>
      <c r="AM737" s="31"/>
      <c r="AN737" s="31"/>
      <c r="AO737" s="31"/>
      <c r="AP737" s="31"/>
      <c r="AQ737" s="31"/>
      <c r="AR737" s="31"/>
      <c r="AS737" s="31"/>
      <c r="AT737" s="31"/>
      <c r="AU737" s="31"/>
      <c r="AV737" s="31"/>
      <c r="AW737" s="31"/>
      <c r="AX737" s="31"/>
      <c r="AY737" s="31"/>
      <c r="AZ737" s="31"/>
      <c r="BA737" s="31"/>
      <c r="BB737" s="31"/>
      <c r="BC737" s="31"/>
      <c r="BD737" s="31"/>
      <c r="BE737" s="31"/>
      <c r="BF737" s="31"/>
      <c r="BG737" s="31"/>
      <c r="BH737" s="31"/>
      <c r="BI737" s="31"/>
    </row>
    <row r="738" spans="38:61" x14ac:dyDescent="0.2">
      <c r="AL738" s="31"/>
      <c r="AM738" s="31"/>
      <c r="AN738" s="31"/>
      <c r="AO738" s="31"/>
      <c r="AP738" s="31"/>
      <c r="AQ738" s="31"/>
      <c r="AR738" s="31"/>
      <c r="AS738" s="31"/>
      <c r="AT738" s="31"/>
      <c r="AU738" s="31"/>
      <c r="AV738" s="31"/>
      <c r="AW738" s="31"/>
      <c r="AX738" s="31"/>
      <c r="AY738" s="31"/>
      <c r="AZ738" s="31"/>
      <c r="BA738" s="31"/>
      <c r="BB738" s="31"/>
      <c r="BC738" s="31"/>
      <c r="BD738" s="31"/>
      <c r="BE738" s="31"/>
      <c r="BF738" s="31"/>
      <c r="BG738" s="31"/>
      <c r="BH738" s="31"/>
      <c r="BI738" s="31"/>
    </row>
    <row r="739" spans="38:61" x14ac:dyDescent="0.2">
      <c r="AL739" s="31"/>
      <c r="AM739" s="31"/>
      <c r="AN739" s="31"/>
      <c r="AO739" s="31"/>
      <c r="AP739" s="31"/>
      <c r="AQ739" s="31"/>
      <c r="AR739" s="31"/>
      <c r="AS739" s="31"/>
      <c r="AT739" s="31"/>
      <c r="AU739" s="31"/>
      <c r="AV739" s="31"/>
      <c r="AW739" s="31"/>
      <c r="AX739" s="31"/>
      <c r="AY739" s="31"/>
      <c r="AZ739" s="31"/>
      <c r="BA739" s="31"/>
      <c r="BB739" s="31"/>
      <c r="BC739" s="31"/>
      <c r="BD739" s="31"/>
      <c r="BE739" s="31"/>
      <c r="BF739" s="31"/>
      <c r="BG739" s="31"/>
      <c r="BH739" s="31"/>
      <c r="BI739" s="31"/>
    </row>
    <row r="740" spans="38:61" x14ac:dyDescent="0.2">
      <c r="AL740" s="31"/>
      <c r="AM740" s="31"/>
      <c r="AN740" s="31"/>
      <c r="AO740" s="31"/>
      <c r="AP740" s="31"/>
      <c r="AQ740" s="31"/>
      <c r="AR740" s="31"/>
      <c r="AS740" s="31"/>
      <c r="AT740" s="31"/>
      <c r="AU740" s="31"/>
      <c r="AV740" s="31"/>
      <c r="AW740" s="31"/>
      <c r="AX740" s="31"/>
      <c r="AY740" s="31"/>
      <c r="AZ740" s="31"/>
      <c r="BA740" s="31"/>
      <c r="BB740" s="31"/>
      <c r="BC740" s="31"/>
      <c r="BD740" s="31"/>
      <c r="BE740" s="31"/>
      <c r="BF740" s="31"/>
      <c r="BG740" s="31"/>
      <c r="BH740" s="31"/>
      <c r="BI740" s="31"/>
    </row>
    <row r="741" spans="38:61" x14ac:dyDescent="0.2">
      <c r="AL741" s="31"/>
      <c r="AM741" s="31"/>
      <c r="AN741" s="31"/>
      <c r="AO741" s="31"/>
      <c r="AP741" s="31"/>
      <c r="AQ741" s="31"/>
      <c r="AR741" s="31"/>
      <c r="AS741" s="31"/>
      <c r="AT741" s="31"/>
      <c r="AU741" s="31"/>
      <c r="AV741" s="31"/>
      <c r="AW741" s="31"/>
      <c r="AX741" s="31"/>
      <c r="AY741" s="31"/>
      <c r="AZ741" s="31"/>
      <c r="BA741" s="31"/>
      <c r="BB741" s="31"/>
      <c r="BC741" s="31"/>
      <c r="BD741" s="31"/>
      <c r="BE741" s="31"/>
      <c r="BF741" s="31"/>
      <c r="BG741" s="31"/>
      <c r="BH741" s="31"/>
      <c r="BI741" s="31"/>
    </row>
    <row r="742" spans="38:61" x14ac:dyDescent="0.2">
      <c r="AL742" s="31"/>
      <c r="AM742" s="31"/>
      <c r="AN742" s="31"/>
      <c r="AO742" s="31"/>
      <c r="AP742" s="31"/>
      <c r="AQ742" s="31"/>
      <c r="AR742" s="31"/>
      <c r="AS742" s="31"/>
      <c r="AT742" s="31"/>
      <c r="AU742" s="31"/>
      <c r="AV742" s="31"/>
      <c r="AW742" s="31"/>
      <c r="AX742" s="31"/>
      <c r="AY742" s="31"/>
      <c r="AZ742" s="31"/>
      <c r="BA742" s="31"/>
      <c r="BB742" s="31"/>
      <c r="BC742" s="31"/>
      <c r="BD742" s="31"/>
      <c r="BE742" s="31"/>
      <c r="BF742" s="31"/>
      <c r="BG742" s="31"/>
      <c r="BH742" s="31"/>
      <c r="BI742" s="31"/>
    </row>
    <row r="743" spans="38:61" x14ac:dyDescent="0.2">
      <c r="AL743" s="31"/>
      <c r="AM743" s="31"/>
      <c r="AN743" s="31"/>
      <c r="AO743" s="31"/>
      <c r="AP743" s="31"/>
      <c r="AQ743" s="31"/>
      <c r="AR743" s="31"/>
      <c r="AS743" s="31"/>
      <c r="AT743" s="31"/>
      <c r="AU743" s="31"/>
      <c r="AV743" s="31"/>
      <c r="AW743" s="31"/>
      <c r="AX743" s="31"/>
      <c r="AY743" s="31"/>
      <c r="AZ743" s="31"/>
      <c r="BA743" s="31"/>
      <c r="BB743" s="31"/>
      <c r="BC743" s="31"/>
      <c r="BD743" s="31"/>
      <c r="BE743" s="31"/>
      <c r="BF743" s="31"/>
      <c r="BG743" s="31"/>
      <c r="BH743" s="31"/>
      <c r="BI743" s="31"/>
    </row>
    <row r="744" spans="38:61" x14ac:dyDescent="0.2">
      <c r="AL744" s="31"/>
      <c r="AM744" s="31"/>
      <c r="AN744" s="31"/>
      <c r="AO744" s="31"/>
      <c r="AP744" s="31"/>
      <c r="AQ744" s="31"/>
      <c r="AR744" s="31"/>
      <c r="AS744" s="31"/>
      <c r="AT744" s="31"/>
      <c r="AU744" s="31"/>
      <c r="AV744" s="31"/>
      <c r="AW744" s="31"/>
      <c r="AX744" s="31"/>
      <c r="AY744" s="31"/>
      <c r="AZ744" s="31"/>
      <c r="BA744" s="31"/>
      <c r="BB744" s="31"/>
      <c r="BC744" s="31"/>
      <c r="BD744" s="31"/>
      <c r="BE744" s="31"/>
      <c r="BF744" s="31"/>
      <c r="BG744" s="31"/>
      <c r="BH744" s="31"/>
      <c r="BI744" s="31"/>
    </row>
    <row r="745" spans="38:61" x14ac:dyDescent="0.2">
      <c r="AL745" s="31"/>
      <c r="AM745" s="31"/>
      <c r="AN745" s="31"/>
      <c r="AO745" s="31"/>
      <c r="AP745" s="31"/>
      <c r="AQ745" s="31"/>
      <c r="AR745" s="31"/>
      <c r="AS745" s="31"/>
      <c r="AT745" s="31"/>
      <c r="AU745" s="31"/>
      <c r="AV745" s="31"/>
      <c r="AW745" s="31"/>
      <c r="AX745" s="31"/>
      <c r="AY745" s="31"/>
      <c r="AZ745" s="31"/>
      <c r="BA745" s="31"/>
      <c r="BB745" s="31"/>
      <c r="BC745" s="31"/>
      <c r="BD745" s="31"/>
      <c r="BE745" s="31"/>
      <c r="BF745" s="31"/>
      <c r="BG745" s="31"/>
      <c r="BH745" s="31"/>
      <c r="BI745" s="31"/>
    </row>
    <row r="746" spans="38:61" x14ac:dyDescent="0.2">
      <c r="AL746" s="31"/>
      <c r="AM746" s="31"/>
      <c r="AN746" s="31"/>
      <c r="AO746" s="31"/>
      <c r="AP746" s="31"/>
      <c r="AQ746" s="31"/>
      <c r="AR746" s="31"/>
      <c r="AS746" s="31"/>
      <c r="AT746" s="31"/>
      <c r="AU746" s="31"/>
      <c r="AV746" s="31"/>
      <c r="AW746" s="31"/>
      <c r="AX746" s="31"/>
      <c r="AY746" s="31"/>
      <c r="AZ746" s="31"/>
      <c r="BA746" s="31"/>
      <c r="BB746" s="31"/>
      <c r="BC746" s="31"/>
      <c r="BD746" s="31"/>
      <c r="BE746" s="31"/>
      <c r="BF746" s="31"/>
      <c r="BG746" s="31"/>
      <c r="BH746" s="31"/>
      <c r="BI746" s="31"/>
    </row>
    <row r="747" spans="38:61" x14ac:dyDescent="0.2">
      <c r="AL747" s="31"/>
      <c r="AM747" s="31"/>
      <c r="AN747" s="31"/>
      <c r="AO747" s="31"/>
      <c r="AP747" s="31"/>
      <c r="AQ747" s="31"/>
      <c r="AR747" s="31"/>
      <c r="AS747" s="31"/>
      <c r="AT747" s="31"/>
      <c r="AU747" s="31"/>
      <c r="AV747" s="31"/>
      <c r="AW747" s="31"/>
      <c r="AX747" s="31"/>
      <c r="AY747" s="31"/>
      <c r="AZ747" s="31"/>
      <c r="BA747" s="31"/>
      <c r="BB747" s="31"/>
      <c r="BC747" s="31"/>
      <c r="BD747" s="31"/>
      <c r="BE747" s="31"/>
      <c r="BF747" s="31"/>
      <c r="BG747" s="31"/>
      <c r="BH747" s="31"/>
      <c r="BI747" s="31"/>
    </row>
    <row r="748" spans="38:61" x14ac:dyDescent="0.2">
      <c r="AL748" s="31"/>
      <c r="AM748" s="31"/>
      <c r="AN748" s="31"/>
      <c r="AO748" s="31"/>
      <c r="AP748" s="31"/>
      <c r="AQ748" s="31"/>
      <c r="AR748" s="31"/>
      <c r="AS748" s="31"/>
      <c r="AT748" s="31"/>
      <c r="AU748" s="31"/>
      <c r="AV748" s="31"/>
      <c r="AW748" s="31"/>
      <c r="AX748" s="31"/>
      <c r="AY748" s="31"/>
      <c r="AZ748" s="31"/>
      <c r="BA748" s="31"/>
      <c r="BB748" s="31"/>
      <c r="BC748" s="31"/>
      <c r="BD748" s="31"/>
      <c r="BE748" s="31"/>
      <c r="BF748" s="31"/>
      <c r="BG748" s="31"/>
      <c r="BH748" s="31"/>
      <c r="BI748" s="31"/>
    </row>
    <row r="749" spans="38:61" x14ac:dyDescent="0.2">
      <c r="AL749" s="31"/>
      <c r="AM749" s="31"/>
      <c r="AN749" s="31"/>
      <c r="AO749" s="31"/>
      <c r="AP749" s="31"/>
      <c r="AQ749" s="31"/>
      <c r="AR749" s="31"/>
      <c r="AS749" s="31"/>
      <c r="AT749" s="31"/>
      <c r="AU749" s="31"/>
      <c r="AV749" s="31"/>
      <c r="AW749" s="31"/>
      <c r="AX749" s="31"/>
      <c r="AY749" s="31"/>
      <c r="AZ749" s="31"/>
      <c r="BA749" s="31"/>
      <c r="BB749" s="31"/>
      <c r="BC749" s="31"/>
      <c r="BD749" s="31"/>
      <c r="BE749" s="31"/>
      <c r="BF749" s="31"/>
      <c r="BG749" s="31"/>
      <c r="BH749" s="31"/>
      <c r="BI749" s="31"/>
    </row>
    <row r="750" spans="38:61" x14ac:dyDescent="0.2">
      <c r="AL750" s="31"/>
      <c r="AM750" s="31"/>
      <c r="AN750" s="31"/>
      <c r="AO750" s="31"/>
      <c r="AP750" s="31"/>
      <c r="AQ750" s="31"/>
      <c r="AR750" s="31"/>
      <c r="AS750" s="31"/>
      <c r="AT750" s="31"/>
      <c r="AU750" s="31"/>
      <c r="AV750" s="31"/>
      <c r="AW750" s="31"/>
      <c r="AX750" s="31"/>
      <c r="AY750" s="31"/>
      <c r="AZ750" s="31"/>
      <c r="BA750" s="31"/>
      <c r="BB750" s="31"/>
      <c r="BC750" s="31"/>
      <c r="BD750" s="31"/>
      <c r="BE750" s="31"/>
      <c r="BF750" s="31"/>
      <c r="BG750" s="31"/>
      <c r="BH750" s="31"/>
      <c r="BI750" s="31"/>
    </row>
    <row r="751" spans="38:61" x14ac:dyDescent="0.2">
      <c r="AL751" s="31"/>
      <c r="AM751" s="31"/>
      <c r="AN751" s="31"/>
      <c r="AO751" s="31"/>
      <c r="AP751" s="31"/>
      <c r="AQ751" s="31"/>
      <c r="AR751" s="31"/>
      <c r="AS751" s="31"/>
      <c r="AT751" s="31"/>
      <c r="AU751" s="31"/>
      <c r="AV751" s="31"/>
      <c r="AW751" s="31"/>
      <c r="AX751" s="31"/>
      <c r="AY751" s="31"/>
      <c r="AZ751" s="31"/>
      <c r="BA751" s="31"/>
      <c r="BB751" s="31"/>
      <c r="BC751" s="31"/>
      <c r="BD751" s="31"/>
      <c r="BE751" s="31"/>
      <c r="BF751" s="31"/>
      <c r="BG751" s="31"/>
      <c r="BH751" s="31"/>
      <c r="BI751" s="31"/>
    </row>
    <row r="752" spans="38:61" x14ac:dyDescent="0.2">
      <c r="AL752" s="31"/>
      <c r="AM752" s="31"/>
      <c r="AN752" s="31"/>
      <c r="AO752" s="31"/>
      <c r="AP752" s="31"/>
      <c r="AQ752" s="31"/>
      <c r="AR752" s="31"/>
      <c r="AS752" s="31"/>
      <c r="AT752" s="31"/>
      <c r="AU752" s="31"/>
      <c r="AV752" s="31"/>
      <c r="AW752" s="31"/>
      <c r="AX752" s="31"/>
      <c r="AY752" s="31"/>
      <c r="AZ752" s="31"/>
      <c r="BA752" s="31"/>
      <c r="BB752" s="31"/>
      <c r="BC752" s="31"/>
      <c r="BD752" s="31"/>
      <c r="BE752" s="31"/>
      <c r="BF752" s="31"/>
      <c r="BG752" s="31"/>
      <c r="BH752" s="31"/>
      <c r="BI752" s="31"/>
    </row>
    <row r="753" spans="38:61" x14ac:dyDescent="0.2">
      <c r="AL753" s="31"/>
      <c r="AM753" s="31"/>
      <c r="AN753" s="31"/>
      <c r="AO753" s="31"/>
      <c r="AP753" s="31"/>
      <c r="AQ753" s="31"/>
      <c r="AR753" s="31"/>
      <c r="AS753" s="31"/>
      <c r="AT753" s="31"/>
      <c r="AU753" s="31"/>
      <c r="AV753" s="31"/>
      <c r="AW753" s="31"/>
      <c r="AX753" s="31"/>
      <c r="AY753" s="31"/>
      <c r="AZ753" s="31"/>
      <c r="BA753" s="31"/>
      <c r="BB753" s="31"/>
      <c r="BC753" s="31"/>
      <c r="BD753" s="31"/>
      <c r="BE753" s="31"/>
      <c r="BF753" s="31"/>
      <c r="BG753" s="31"/>
      <c r="BH753" s="31"/>
      <c r="BI753" s="31"/>
    </row>
    <row r="754" spans="38:61" x14ac:dyDescent="0.2">
      <c r="AL754" s="31"/>
      <c r="AM754" s="31"/>
      <c r="AN754" s="31"/>
      <c r="AO754" s="31"/>
      <c r="AP754" s="31"/>
      <c r="AQ754" s="31"/>
      <c r="AR754" s="31"/>
      <c r="AS754" s="31"/>
      <c r="AT754" s="31"/>
      <c r="AU754" s="31"/>
      <c r="AV754" s="31"/>
      <c r="AW754" s="31"/>
      <c r="AX754" s="31"/>
      <c r="AY754" s="31"/>
      <c r="AZ754" s="31"/>
      <c r="BA754" s="31"/>
      <c r="BB754" s="31"/>
      <c r="BC754" s="31"/>
      <c r="BD754" s="31"/>
      <c r="BE754" s="31"/>
      <c r="BF754" s="31"/>
      <c r="BG754" s="31"/>
      <c r="BH754" s="31"/>
      <c r="BI754" s="31"/>
    </row>
    <row r="755" spans="38:61" x14ac:dyDescent="0.2">
      <c r="AL755" s="31"/>
      <c r="AM755" s="31"/>
      <c r="AN755" s="31"/>
      <c r="AO755" s="31"/>
      <c r="AP755" s="31"/>
      <c r="AQ755" s="31"/>
      <c r="AR755" s="31"/>
      <c r="AS755" s="31"/>
      <c r="AT755" s="31"/>
      <c r="AU755" s="31"/>
      <c r="AV755" s="31"/>
      <c r="AW755" s="31"/>
      <c r="AX755" s="31"/>
      <c r="AY755" s="31"/>
      <c r="AZ755" s="31"/>
      <c r="BA755" s="31"/>
      <c r="BB755" s="31"/>
      <c r="BC755" s="31"/>
      <c r="BD755" s="31"/>
      <c r="BE755" s="31"/>
      <c r="BF755" s="31"/>
      <c r="BG755" s="31"/>
      <c r="BH755" s="31"/>
      <c r="BI755" s="31"/>
    </row>
    <row r="756" spans="38:61" x14ac:dyDescent="0.2">
      <c r="AL756" s="31"/>
      <c r="AM756" s="31"/>
      <c r="AN756" s="31"/>
      <c r="AO756" s="31"/>
      <c r="AP756" s="31"/>
      <c r="AQ756" s="31"/>
      <c r="AR756" s="31"/>
      <c r="AS756" s="31"/>
      <c r="AT756" s="31"/>
      <c r="AU756" s="31"/>
      <c r="AV756" s="31"/>
      <c r="AW756" s="31"/>
      <c r="AX756" s="31"/>
      <c r="AY756" s="31"/>
      <c r="AZ756" s="31"/>
      <c r="BA756" s="31"/>
      <c r="BB756" s="31"/>
      <c r="BC756" s="31"/>
      <c r="BD756" s="31"/>
      <c r="BE756" s="31"/>
      <c r="BF756" s="31"/>
      <c r="BG756" s="31"/>
      <c r="BH756" s="31"/>
      <c r="BI756" s="31"/>
    </row>
    <row r="757" spans="38:61" x14ac:dyDescent="0.2">
      <c r="AL757" s="31"/>
      <c r="AM757" s="31"/>
      <c r="AN757" s="31"/>
      <c r="AO757" s="31"/>
      <c r="AP757" s="31"/>
      <c r="AQ757" s="31"/>
      <c r="AR757" s="31"/>
      <c r="AS757" s="31"/>
      <c r="AT757" s="31"/>
      <c r="AU757" s="31"/>
      <c r="AV757" s="31"/>
      <c r="AW757" s="31"/>
      <c r="AX757" s="31"/>
      <c r="AY757" s="31"/>
      <c r="AZ757" s="31"/>
      <c r="BA757" s="31"/>
      <c r="BB757" s="31"/>
      <c r="BC757" s="31"/>
      <c r="BD757" s="31"/>
      <c r="BE757" s="31"/>
      <c r="BF757" s="31"/>
      <c r="BG757" s="31"/>
      <c r="BH757" s="31"/>
      <c r="BI757" s="31"/>
    </row>
    <row r="758" spans="38:61" x14ac:dyDescent="0.2">
      <c r="AL758" s="31"/>
      <c r="AM758" s="31"/>
      <c r="AN758" s="31"/>
      <c r="AO758" s="31"/>
      <c r="AP758" s="31"/>
      <c r="AQ758" s="31"/>
      <c r="AR758" s="31"/>
      <c r="AS758" s="31"/>
      <c r="AT758" s="31"/>
      <c r="AU758" s="31"/>
      <c r="AV758" s="31"/>
      <c r="AW758" s="31"/>
      <c r="AX758" s="31"/>
      <c r="AY758" s="31"/>
      <c r="AZ758" s="31"/>
      <c r="BA758" s="31"/>
      <c r="BB758" s="31"/>
      <c r="BC758" s="31"/>
      <c r="BD758" s="31"/>
      <c r="BE758" s="31"/>
      <c r="BF758" s="31"/>
      <c r="BG758" s="31"/>
      <c r="BH758" s="31"/>
      <c r="BI758" s="31"/>
    </row>
    <row r="759" spans="38:61" x14ac:dyDescent="0.2">
      <c r="AL759" s="31"/>
      <c r="AM759" s="31"/>
      <c r="AN759" s="31"/>
      <c r="AO759" s="31"/>
      <c r="AP759" s="31"/>
      <c r="AQ759" s="31"/>
      <c r="AR759" s="31"/>
      <c r="AS759" s="31"/>
      <c r="AT759" s="31"/>
      <c r="AU759" s="31"/>
      <c r="AV759" s="31"/>
      <c r="AW759" s="31"/>
      <c r="AX759" s="31"/>
      <c r="AY759" s="31"/>
      <c r="AZ759" s="31"/>
      <c r="BA759" s="31"/>
      <c r="BB759" s="31"/>
      <c r="BC759" s="31"/>
      <c r="BD759" s="31"/>
      <c r="BE759" s="31"/>
      <c r="BF759" s="31"/>
      <c r="BG759" s="31"/>
      <c r="BH759" s="31"/>
      <c r="BI759" s="31"/>
    </row>
    <row r="760" spans="38:61" x14ac:dyDescent="0.2">
      <c r="AL760" s="31"/>
      <c r="AM760" s="31"/>
      <c r="AN760" s="31"/>
      <c r="AO760" s="31"/>
      <c r="AP760" s="31"/>
      <c r="AQ760" s="31"/>
      <c r="AR760" s="31"/>
      <c r="AS760" s="31"/>
      <c r="AT760" s="31"/>
      <c r="AU760" s="31"/>
      <c r="AV760" s="31"/>
      <c r="AW760" s="31"/>
      <c r="AX760" s="31"/>
      <c r="AY760" s="31"/>
      <c r="AZ760" s="31"/>
      <c r="BA760" s="31"/>
      <c r="BB760" s="31"/>
      <c r="BC760" s="31"/>
      <c r="BD760" s="31"/>
      <c r="BE760" s="31"/>
      <c r="BF760" s="31"/>
      <c r="BG760" s="31"/>
      <c r="BH760" s="31"/>
      <c r="BI760" s="31"/>
    </row>
    <row r="761" spans="38:61" x14ac:dyDescent="0.2">
      <c r="AL761" s="31"/>
      <c r="AM761" s="31"/>
      <c r="AN761" s="31"/>
      <c r="AO761" s="31"/>
      <c r="AP761" s="31"/>
      <c r="AQ761" s="31"/>
      <c r="AR761" s="31"/>
      <c r="AS761" s="31"/>
      <c r="AT761" s="31"/>
      <c r="AU761" s="31"/>
      <c r="AV761" s="31"/>
      <c r="AW761" s="31"/>
      <c r="AX761" s="31"/>
      <c r="AY761" s="31"/>
      <c r="AZ761" s="31"/>
      <c r="BA761" s="31"/>
      <c r="BB761" s="31"/>
      <c r="BC761" s="31"/>
      <c r="BD761" s="31"/>
      <c r="BE761" s="31"/>
      <c r="BF761" s="31"/>
      <c r="BG761" s="31"/>
      <c r="BH761" s="31"/>
      <c r="BI761" s="31"/>
    </row>
    <row r="762" spans="38:61" x14ac:dyDescent="0.2">
      <c r="AL762" s="31"/>
      <c r="AM762" s="31"/>
      <c r="AN762" s="31"/>
      <c r="AO762" s="31"/>
      <c r="AP762" s="31"/>
      <c r="AQ762" s="31"/>
      <c r="AR762" s="31"/>
      <c r="AS762" s="31"/>
      <c r="AT762" s="31"/>
      <c r="AU762" s="31"/>
      <c r="AV762" s="31"/>
      <c r="AW762" s="31"/>
      <c r="AX762" s="31"/>
      <c r="AY762" s="31"/>
      <c r="AZ762" s="31"/>
      <c r="BA762" s="31"/>
      <c r="BB762" s="31"/>
      <c r="BC762" s="31"/>
      <c r="BD762" s="31"/>
      <c r="BE762" s="31"/>
      <c r="BF762" s="31"/>
      <c r="BG762" s="31"/>
      <c r="BH762" s="31"/>
      <c r="BI762" s="31"/>
    </row>
    <row r="763" spans="38:61" x14ac:dyDescent="0.2">
      <c r="AL763" s="31"/>
      <c r="AM763" s="31"/>
      <c r="AN763" s="31"/>
      <c r="AO763" s="31"/>
      <c r="AP763" s="31"/>
      <c r="AQ763" s="31"/>
      <c r="AR763" s="31"/>
      <c r="AS763" s="31"/>
      <c r="AT763" s="31"/>
      <c r="AU763" s="31"/>
      <c r="AV763" s="31"/>
      <c r="AW763" s="31"/>
      <c r="AX763" s="31"/>
      <c r="AY763" s="31"/>
      <c r="AZ763" s="31"/>
      <c r="BA763" s="31"/>
      <c r="BB763" s="31"/>
      <c r="BC763" s="31"/>
      <c r="BD763" s="31"/>
      <c r="BE763" s="31"/>
      <c r="BF763" s="31"/>
      <c r="BG763" s="31"/>
      <c r="BH763" s="31"/>
      <c r="BI763" s="31"/>
    </row>
    <row r="764" spans="38:61" x14ac:dyDescent="0.2">
      <c r="AL764" s="31"/>
      <c r="AM764" s="31"/>
      <c r="AN764" s="31"/>
      <c r="AO764" s="31"/>
      <c r="AP764" s="31"/>
      <c r="AQ764" s="31"/>
      <c r="AR764" s="31"/>
      <c r="AS764" s="31"/>
      <c r="AT764" s="31"/>
      <c r="AU764" s="31"/>
      <c r="AV764" s="31"/>
      <c r="AW764" s="31"/>
      <c r="AX764" s="31"/>
      <c r="AY764" s="31"/>
      <c r="AZ764" s="31"/>
      <c r="BA764" s="31"/>
      <c r="BB764" s="31"/>
      <c r="BC764" s="31"/>
      <c r="BD764" s="31"/>
      <c r="BE764" s="31"/>
      <c r="BF764" s="31"/>
      <c r="BG764" s="31"/>
      <c r="BH764" s="31"/>
      <c r="BI764" s="31"/>
    </row>
    <row r="765" spans="38:61" x14ac:dyDescent="0.2">
      <c r="AL765" s="31"/>
      <c r="AM765" s="31"/>
      <c r="AN765" s="31"/>
      <c r="AO765" s="31"/>
      <c r="AP765" s="31"/>
      <c r="AQ765" s="31"/>
      <c r="AR765" s="31"/>
      <c r="AS765" s="31"/>
      <c r="AT765" s="31"/>
      <c r="AU765" s="31"/>
      <c r="AV765" s="31"/>
      <c r="AW765" s="31"/>
      <c r="AX765" s="31"/>
      <c r="AY765" s="31"/>
      <c r="AZ765" s="31"/>
      <c r="BA765" s="31"/>
      <c r="BB765" s="31"/>
      <c r="BC765" s="31"/>
      <c r="BD765" s="31"/>
      <c r="BE765" s="31"/>
      <c r="BF765" s="31"/>
      <c r="BG765" s="31"/>
      <c r="BH765" s="31"/>
      <c r="BI765" s="31"/>
    </row>
    <row r="766" spans="38:61" x14ac:dyDescent="0.2">
      <c r="AL766" s="31"/>
      <c r="AM766" s="31"/>
      <c r="AN766" s="31"/>
      <c r="AO766" s="31"/>
      <c r="AP766" s="31"/>
      <c r="AQ766" s="31"/>
      <c r="AR766" s="31"/>
      <c r="AS766" s="31"/>
      <c r="AT766" s="31"/>
      <c r="AU766" s="31"/>
      <c r="AV766" s="31"/>
      <c r="AW766" s="31"/>
      <c r="AX766" s="31"/>
      <c r="AY766" s="31"/>
      <c r="AZ766" s="31"/>
      <c r="BA766" s="31"/>
      <c r="BB766" s="31"/>
      <c r="BC766" s="31"/>
      <c r="BD766" s="31"/>
      <c r="BE766" s="31"/>
      <c r="BF766" s="31"/>
      <c r="BG766" s="31"/>
      <c r="BH766" s="31"/>
      <c r="BI766" s="31"/>
    </row>
    <row r="767" spans="38:61" x14ac:dyDescent="0.2">
      <c r="AL767" s="31"/>
      <c r="AM767" s="31"/>
      <c r="AN767" s="31"/>
      <c r="AO767" s="31"/>
      <c r="AP767" s="31"/>
      <c r="AQ767" s="31"/>
      <c r="AR767" s="31"/>
      <c r="AS767" s="31"/>
      <c r="AT767" s="31"/>
      <c r="AU767" s="31"/>
      <c r="AV767" s="31"/>
      <c r="AW767" s="31"/>
      <c r="AX767" s="31"/>
      <c r="AY767" s="31"/>
      <c r="AZ767" s="31"/>
      <c r="BA767" s="31"/>
      <c r="BB767" s="31"/>
      <c r="BC767" s="31"/>
      <c r="BD767" s="31"/>
      <c r="BE767" s="31"/>
      <c r="BF767" s="31"/>
      <c r="BG767" s="31"/>
      <c r="BH767" s="31"/>
      <c r="BI767" s="31"/>
    </row>
    <row r="768" spans="38:61" x14ac:dyDescent="0.2">
      <c r="AL768" s="31"/>
      <c r="AM768" s="31"/>
      <c r="AN768" s="31"/>
      <c r="AO768" s="31"/>
      <c r="AP768" s="31"/>
      <c r="AQ768" s="31"/>
      <c r="AR768" s="31"/>
      <c r="AS768" s="31"/>
      <c r="AT768" s="31"/>
      <c r="AU768" s="31"/>
      <c r="AV768" s="31"/>
      <c r="AW768" s="31"/>
      <c r="AX768" s="31"/>
      <c r="AY768" s="31"/>
      <c r="AZ768" s="31"/>
      <c r="BA768" s="31"/>
      <c r="BB768" s="31"/>
      <c r="BC768" s="31"/>
      <c r="BD768" s="31"/>
      <c r="BE768" s="31"/>
      <c r="BF768" s="31"/>
      <c r="BG768" s="31"/>
      <c r="BH768" s="31"/>
      <c r="BI768" s="31"/>
    </row>
    <row r="769" spans="38:61" x14ac:dyDescent="0.2">
      <c r="AL769" s="31"/>
      <c r="AM769" s="31"/>
      <c r="AN769" s="31"/>
      <c r="AO769" s="31"/>
      <c r="AP769" s="31"/>
      <c r="AQ769" s="31"/>
      <c r="AR769" s="31"/>
      <c r="AS769" s="31"/>
      <c r="AT769" s="31"/>
      <c r="AU769" s="31"/>
      <c r="AV769" s="31"/>
      <c r="AW769" s="31"/>
      <c r="AX769" s="31"/>
      <c r="AY769" s="31"/>
      <c r="AZ769" s="31"/>
      <c r="BA769" s="31"/>
      <c r="BB769" s="31"/>
      <c r="BC769" s="31"/>
      <c r="BD769" s="31"/>
      <c r="BE769" s="31"/>
      <c r="BF769" s="31"/>
      <c r="BG769" s="31"/>
      <c r="BH769" s="31"/>
      <c r="BI769" s="31"/>
    </row>
    <row r="770" spans="38:61" x14ac:dyDescent="0.2">
      <c r="AL770" s="31"/>
      <c r="AM770" s="31"/>
      <c r="AN770" s="31"/>
      <c r="AO770" s="31"/>
      <c r="AP770" s="31"/>
      <c r="AQ770" s="31"/>
      <c r="AR770" s="31"/>
      <c r="AS770" s="31"/>
      <c r="AT770" s="31"/>
      <c r="AU770" s="31"/>
      <c r="AV770" s="31"/>
      <c r="AW770" s="31"/>
      <c r="AX770" s="31"/>
      <c r="AY770" s="31"/>
      <c r="AZ770" s="31"/>
      <c r="BA770" s="31"/>
      <c r="BB770" s="31"/>
      <c r="BC770" s="31"/>
      <c r="BD770" s="31"/>
      <c r="BE770" s="31"/>
      <c r="BF770" s="31"/>
      <c r="BG770" s="31"/>
      <c r="BH770" s="31"/>
      <c r="BI770" s="31"/>
    </row>
    <row r="771" spans="38:61" x14ac:dyDescent="0.2">
      <c r="AL771" s="31"/>
      <c r="AM771" s="31"/>
      <c r="AN771" s="31"/>
      <c r="AO771" s="31"/>
      <c r="AP771" s="31"/>
      <c r="AQ771" s="31"/>
      <c r="AR771" s="31"/>
      <c r="AS771" s="31"/>
      <c r="AT771" s="31"/>
      <c r="AU771" s="31"/>
      <c r="AV771" s="31"/>
      <c r="AW771" s="31"/>
      <c r="AX771" s="31"/>
      <c r="AY771" s="31"/>
      <c r="AZ771" s="31"/>
      <c r="BA771" s="31"/>
      <c r="BB771" s="31"/>
      <c r="BC771" s="31"/>
      <c r="BD771" s="31"/>
      <c r="BE771" s="31"/>
      <c r="BF771" s="31"/>
      <c r="BG771" s="31"/>
      <c r="BH771" s="31"/>
      <c r="BI771" s="31"/>
    </row>
    <row r="772" spans="38:61" x14ac:dyDescent="0.2">
      <c r="AL772" s="31"/>
      <c r="AM772" s="31"/>
      <c r="AN772" s="31"/>
      <c r="AO772" s="31"/>
      <c r="AP772" s="31"/>
      <c r="AQ772" s="31"/>
      <c r="AR772" s="31"/>
      <c r="AS772" s="31"/>
      <c r="AT772" s="31"/>
      <c r="AU772" s="31"/>
      <c r="AV772" s="31"/>
      <c r="AW772" s="31"/>
      <c r="AX772" s="31"/>
      <c r="AY772" s="31"/>
      <c r="AZ772" s="31"/>
      <c r="BA772" s="31"/>
      <c r="BB772" s="31"/>
      <c r="BC772" s="31"/>
      <c r="BD772" s="31"/>
      <c r="BE772" s="31"/>
      <c r="BF772" s="31"/>
      <c r="BG772" s="31"/>
      <c r="BH772" s="31"/>
      <c r="BI772" s="31"/>
    </row>
    <row r="773" spans="38:61" x14ac:dyDescent="0.2">
      <c r="AL773" s="31"/>
      <c r="AM773" s="31"/>
      <c r="AN773" s="31"/>
      <c r="AO773" s="31"/>
      <c r="AP773" s="31"/>
      <c r="AQ773" s="31"/>
      <c r="AR773" s="31"/>
      <c r="AS773" s="31"/>
      <c r="AT773" s="31"/>
      <c r="AU773" s="31"/>
      <c r="AV773" s="31"/>
      <c r="AW773" s="31"/>
      <c r="AX773" s="31"/>
      <c r="AY773" s="31"/>
      <c r="AZ773" s="31"/>
      <c r="BA773" s="31"/>
      <c r="BB773" s="31"/>
      <c r="BC773" s="31"/>
      <c r="BD773" s="31"/>
      <c r="BE773" s="31"/>
      <c r="BF773" s="31"/>
      <c r="BG773" s="31"/>
      <c r="BH773" s="31"/>
      <c r="BI773" s="31"/>
    </row>
    <row r="774" spans="38:61" x14ac:dyDescent="0.2">
      <c r="AL774" s="31"/>
      <c r="AM774" s="31"/>
      <c r="AN774" s="31"/>
      <c r="AO774" s="31"/>
      <c r="AP774" s="31"/>
      <c r="AQ774" s="31"/>
      <c r="AR774" s="31"/>
      <c r="AS774" s="31"/>
      <c r="AT774" s="31"/>
      <c r="AU774" s="31"/>
      <c r="AV774" s="31"/>
      <c r="AW774" s="31"/>
      <c r="AX774" s="31"/>
      <c r="AY774" s="31"/>
      <c r="AZ774" s="31"/>
      <c r="BA774" s="31"/>
      <c r="BB774" s="31"/>
      <c r="BC774" s="31"/>
      <c r="BD774" s="31"/>
      <c r="BE774" s="31"/>
      <c r="BF774" s="31"/>
      <c r="BG774" s="31"/>
      <c r="BH774" s="31"/>
      <c r="BI774" s="31"/>
    </row>
    <row r="775" spans="38:61" x14ac:dyDescent="0.2">
      <c r="AL775" s="31"/>
      <c r="AM775" s="31"/>
      <c r="AN775" s="31"/>
      <c r="AO775" s="31"/>
      <c r="AP775" s="31"/>
      <c r="AQ775" s="31"/>
      <c r="AR775" s="31"/>
      <c r="AS775" s="31"/>
      <c r="AT775" s="31"/>
      <c r="AU775" s="31"/>
      <c r="AV775" s="31"/>
      <c r="AW775" s="31"/>
      <c r="AX775" s="31"/>
      <c r="AY775" s="31"/>
      <c r="AZ775" s="31"/>
      <c r="BA775" s="31"/>
      <c r="BB775" s="31"/>
      <c r="BC775" s="31"/>
      <c r="BD775" s="31"/>
      <c r="BE775" s="31"/>
      <c r="BF775" s="31"/>
      <c r="BG775" s="31"/>
      <c r="BH775" s="31"/>
      <c r="BI775" s="31"/>
    </row>
    <row r="776" spans="38:61" x14ac:dyDescent="0.2">
      <c r="AL776" s="31"/>
      <c r="AM776" s="31"/>
      <c r="AN776" s="31"/>
      <c r="AO776" s="31"/>
      <c r="AP776" s="31"/>
      <c r="AQ776" s="31"/>
      <c r="AR776" s="31"/>
      <c r="AS776" s="31"/>
      <c r="AT776" s="31"/>
      <c r="AU776" s="31"/>
      <c r="AV776" s="31"/>
      <c r="AW776" s="31"/>
      <c r="AX776" s="31"/>
      <c r="AY776" s="31"/>
      <c r="AZ776" s="31"/>
      <c r="BA776" s="31"/>
      <c r="BB776" s="31"/>
      <c r="BC776" s="31"/>
      <c r="BD776" s="31"/>
      <c r="BE776" s="31"/>
      <c r="BF776" s="31"/>
      <c r="BG776" s="31"/>
      <c r="BH776" s="31"/>
      <c r="BI776" s="31"/>
    </row>
    <row r="777" spans="38:61" x14ac:dyDescent="0.2">
      <c r="AL777" s="31"/>
      <c r="AM777" s="31"/>
      <c r="AN777" s="31"/>
      <c r="AO777" s="31"/>
      <c r="AP777" s="31"/>
      <c r="AQ777" s="31"/>
      <c r="AR777" s="31"/>
      <c r="AS777" s="31"/>
      <c r="AT777" s="31"/>
      <c r="AU777" s="31"/>
      <c r="AV777" s="31"/>
      <c r="AW777" s="31"/>
      <c r="AX777" s="31"/>
      <c r="AY777" s="31"/>
      <c r="AZ777" s="31"/>
      <c r="BA777" s="31"/>
      <c r="BB777" s="31"/>
      <c r="BC777" s="31"/>
      <c r="BD777" s="31"/>
      <c r="BE777" s="31"/>
      <c r="BF777" s="31"/>
      <c r="BG777" s="31"/>
      <c r="BH777" s="31"/>
      <c r="BI777" s="31"/>
    </row>
    <row r="778" spans="38:61" x14ac:dyDescent="0.2">
      <c r="AL778" s="31"/>
      <c r="AM778" s="31"/>
      <c r="AN778" s="31"/>
      <c r="AO778" s="31"/>
      <c r="AP778" s="31"/>
      <c r="AQ778" s="31"/>
      <c r="AR778" s="31"/>
      <c r="AS778" s="31"/>
      <c r="AT778" s="31"/>
      <c r="AU778" s="31"/>
      <c r="AV778" s="31"/>
      <c r="AW778" s="31"/>
      <c r="AX778" s="31"/>
      <c r="AY778" s="31"/>
      <c r="AZ778" s="31"/>
      <c r="BA778" s="31"/>
      <c r="BB778" s="31"/>
      <c r="BC778" s="31"/>
      <c r="BD778" s="31"/>
      <c r="BE778" s="31"/>
      <c r="BF778" s="31"/>
      <c r="BG778" s="31"/>
      <c r="BH778" s="31"/>
      <c r="BI778" s="31"/>
    </row>
    <row r="779" spans="38:61" x14ac:dyDescent="0.2">
      <c r="AL779" s="31"/>
      <c r="AM779" s="31"/>
      <c r="AN779" s="31"/>
      <c r="AO779" s="31"/>
      <c r="AP779" s="31"/>
      <c r="AQ779" s="31"/>
      <c r="AR779" s="31"/>
      <c r="AS779" s="31"/>
      <c r="AT779" s="31"/>
      <c r="AU779" s="31"/>
      <c r="AV779" s="31"/>
      <c r="AW779" s="31"/>
      <c r="AX779" s="31"/>
      <c r="AY779" s="31"/>
      <c r="AZ779" s="31"/>
      <c r="BA779" s="31"/>
      <c r="BB779" s="31"/>
      <c r="BC779" s="31"/>
      <c r="BD779" s="31"/>
      <c r="BE779" s="31"/>
      <c r="BF779" s="31"/>
      <c r="BG779" s="31"/>
      <c r="BH779" s="31"/>
      <c r="BI779" s="31"/>
    </row>
    <row r="780" spans="38:61" x14ac:dyDescent="0.2">
      <c r="AL780" s="31"/>
      <c r="AM780" s="31"/>
      <c r="AN780" s="31"/>
      <c r="AO780" s="31"/>
      <c r="AP780" s="31"/>
      <c r="AQ780" s="31"/>
      <c r="AR780" s="31"/>
      <c r="AS780" s="31"/>
      <c r="AT780" s="31"/>
      <c r="AU780" s="31"/>
      <c r="AV780" s="31"/>
      <c r="AW780" s="31"/>
      <c r="AX780" s="31"/>
      <c r="AY780" s="31"/>
      <c r="AZ780" s="31"/>
      <c r="BA780" s="31"/>
      <c r="BB780" s="31"/>
      <c r="BC780" s="31"/>
      <c r="BD780" s="31"/>
      <c r="BE780" s="31"/>
      <c r="BF780" s="31"/>
      <c r="BG780" s="31"/>
      <c r="BH780" s="31"/>
      <c r="BI780" s="31"/>
    </row>
    <row r="781" spans="38:61" x14ac:dyDescent="0.2">
      <c r="AL781" s="31"/>
      <c r="AM781" s="31"/>
      <c r="AN781" s="31"/>
      <c r="AO781" s="31"/>
      <c r="AP781" s="31"/>
      <c r="AQ781" s="31"/>
      <c r="AR781" s="31"/>
      <c r="AS781" s="31"/>
      <c r="AT781" s="31"/>
      <c r="AU781" s="31"/>
      <c r="AV781" s="31"/>
      <c r="AW781" s="31"/>
      <c r="AX781" s="31"/>
      <c r="AY781" s="31"/>
      <c r="AZ781" s="31"/>
      <c r="BA781" s="31"/>
      <c r="BB781" s="31"/>
      <c r="BC781" s="31"/>
      <c r="BD781" s="31"/>
      <c r="BE781" s="31"/>
      <c r="BF781" s="31"/>
      <c r="BG781" s="31"/>
      <c r="BH781" s="31"/>
      <c r="BI781" s="31"/>
    </row>
    <row r="782" spans="38:61" x14ac:dyDescent="0.2">
      <c r="AL782" s="31"/>
      <c r="AM782" s="31"/>
      <c r="AN782" s="31"/>
      <c r="AO782" s="31"/>
      <c r="AP782" s="31"/>
      <c r="AQ782" s="31"/>
      <c r="AR782" s="31"/>
      <c r="AS782" s="31"/>
      <c r="AT782" s="31"/>
      <c r="AU782" s="31"/>
      <c r="AV782" s="31"/>
      <c r="AW782" s="31"/>
      <c r="AX782" s="31"/>
      <c r="AY782" s="31"/>
      <c r="AZ782" s="31"/>
      <c r="BA782" s="31"/>
      <c r="BB782" s="31"/>
      <c r="BC782" s="31"/>
      <c r="BD782" s="31"/>
      <c r="BE782" s="31"/>
      <c r="BF782" s="31"/>
      <c r="BG782" s="31"/>
      <c r="BH782" s="31"/>
      <c r="BI782" s="31"/>
    </row>
    <row r="783" spans="38:61" x14ac:dyDescent="0.2">
      <c r="AL783" s="31"/>
      <c r="AM783" s="31"/>
      <c r="AN783" s="31"/>
      <c r="AO783" s="31"/>
      <c r="AP783" s="31"/>
      <c r="AQ783" s="31"/>
      <c r="AR783" s="31"/>
      <c r="AS783" s="31"/>
      <c r="AT783" s="31"/>
      <c r="AU783" s="31"/>
      <c r="AV783" s="31"/>
      <c r="AW783" s="31"/>
      <c r="AX783" s="31"/>
      <c r="AY783" s="31"/>
      <c r="AZ783" s="31"/>
      <c r="BA783" s="31"/>
      <c r="BB783" s="31"/>
      <c r="BC783" s="31"/>
      <c r="BD783" s="31"/>
      <c r="BE783" s="31"/>
      <c r="BF783" s="31"/>
      <c r="BG783" s="31"/>
      <c r="BH783" s="31"/>
      <c r="BI783" s="31"/>
    </row>
    <row r="784" spans="38:61" x14ac:dyDescent="0.2">
      <c r="AL784" s="31"/>
      <c r="AM784" s="31"/>
      <c r="AN784" s="31"/>
      <c r="AO784" s="31"/>
      <c r="AP784" s="31"/>
      <c r="AQ784" s="31"/>
      <c r="AR784" s="31"/>
      <c r="AS784" s="31"/>
      <c r="AT784" s="31"/>
      <c r="AU784" s="31"/>
      <c r="AV784" s="31"/>
      <c r="AW784" s="31"/>
      <c r="AX784" s="31"/>
      <c r="AY784" s="31"/>
      <c r="AZ784" s="31"/>
      <c r="BA784" s="31"/>
      <c r="BB784" s="31"/>
      <c r="BC784" s="31"/>
      <c r="BD784" s="31"/>
      <c r="BE784" s="31"/>
      <c r="BF784" s="31"/>
      <c r="BG784" s="31"/>
      <c r="BH784" s="31"/>
      <c r="BI784" s="31"/>
    </row>
    <row r="785" spans="38:61" x14ac:dyDescent="0.2">
      <c r="AL785" s="31"/>
      <c r="AM785" s="31"/>
      <c r="AN785" s="31"/>
      <c r="AO785" s="31"/>
      <c r="AP785" s="31"/>
      <c r="AQ785" s="31"/>
      <c r="AR785" s="31"/>
      <c r="AS785" s="31"/>
      <c r="AT785" s="31"/>
      <c r="AU785" s="31"/>
      <c r="AV785" s="31"/>
      <c r="AW785" s="31"/>
      <c r="AX785" s="31"/>
      <c r="AY785" s="31"/>
      <c r="AZ785" s="31"/>
      <c r="BA785" s="31"/>
      <c r="BB785" s="31"/>
      <c r="BC785" s="31"/>
      <c r="BD785" s="31"/>
      <c r="BE785" s="31"/>
      <c r="BF785" s="31"/>
      <c r="BG785" s="31"/>
      <c r="BH785" s="31"/>
      <c r="BI785" s="31"/>
    </row>
    <row r="786" spans="38:61" x14ac:dyDescent="0.2">
      <c r="AL786" s="31"/>
      <c r="AM786" s="31"/>
      <c r="AN786" s="31"/>
      <c r="AO786" s="31"/>
      <c r="AP786" s="31"/>
      <c r="AQ786" s="31"/>
      <c r="AR786" s="31"/>
      <c r="AS786" s="31"/>
      <c r="AT786" s="31"/>
      <c r="AU786" s="31"/>
      <c r="AV786" s="31"/>
      <c r="AW786" s="31"/>
      <c r="AX786" s="31"/>
      <c r="AY786" s="31"/>
      <c r="AZ786" s="31"/>
      <c r="BA786" s="31"/>
      <c r="BB786" s="31"/>
      <c r="BC786" s="31"/>
      <c r="BD786" s="31"/>
      <c r="BE786" s="31"/>
      <c r="BF786" s="31"/>
      <c r="BG786" s="31"/>
      <c r="BH786" s="31"/>
      <c r="BI786" s="31"/>
    </row>
    <row r="787" spans="38:61" x14ac:dyDescent="0.2">
      <c r="AL787" s="31"/>
      <c r="AM787" s="31"/>
      <c r="AN787" s="31"/>
      <c r="AO787" s="31"/>
      <c r="AP787" s="31"/>
      <c r="AQ787" s="31"/>
      <c r="AR787" s="31"/>
      <c r="AS787" s="31"/>
      <c r="AT787" s="31"/>
      <c r="AU787" s="31"/>
      <c r="AV787" s="31"/>
      <c r="AW787" s="31"/>
      <c r="AX787" s="31"/>
      <c r="AY787" s="31"/>
      <c r="AZ787" s="31"/>
      <c r="BA787" s="31"/>
      <c r="BB787" s="31"/>
      <c r="BC787" s="31"/>
      <c r="BD787" s="31"/>
      <c r="BE787" s="31"/>
      <c r="BF787" s="31"/>
      <c r="BG787" s="31"/>
      <c r="BH787" s="31"/>
      <c r="BI787" s="31"/>
    </row>
    <row r="788" spans="38:61" x14ac:dyDescent="0.2">
      <c r="AL788" s="31"/>
      <c r="AM788" s="31"/>
      <c r="AN788" s="31"/>
      <c r="AO788" s="31"/>
      <c r="AP788" s="31"/>
      <c r="AQ788" s="31"/>
      <c r="AR788" s="31"/>
      <c r="AS788" s="31"/>
      <c r="AT788" s="31"/>
      <c r="AU788" s="31"/>
      <c r="AV788" s="31"/>
      <c r="AW788" s="31"/>
      <c r="AX788" s="31"/>
      <c r="AY788" s="31"/>
      <c r="AZ788" s="31"/>
      <c r="BA788" s="31"/>
      <c r="BB788" s="31"/>
      <c r="BC788" s="31"/>
      <c r="BD788" s="31"/>
      <c r="BE788" s="31"/>
      <c r="BF788" s="31"/>
      <c r="BG788" s="31"/>
      <c r="BH788" s="31"/>
      <c r="BI788" s="31"/>
    </row>
    <row r="789" spans="38:61" x14ac:dyDescent="0.2">
      <c r="AL789" s="31"/>
      <c r="AM789" s="31"/>
      <c r="AN789" s="31"/>
      <c r="AO789" s="31"/>
      <c r="AP789" s="31"/>
      <c r="AQ789" s="31"/>
      <c r="AR789" s="31"/>
      <c r="AS789" s="31"/>
      <c r="AT789" s="31"/>
      <c r="AU789" s="31"/>
      <c r="AV789" s="31"/>
      <c r="AW789" s="31"/>
      <c r="AX789" s="31"/>
      <c r="AY789" s="31"/>
      <c r="AZ789" s="31"/>
      <c r="BA789" s="31"/>
      <c r="BB789" s="31"/>
      <c r="BC789" s="31"/>
      <c r="BD789" s="31"/>
      <c r="BE789" s="31"/>
      <c r="BF789" s="31"/>
      <c r="BG789" s="31"/>
      <c r="BH789" s="31"/>
      <c r="BI789" s="31"/>
    </row>
    <row r="790" spans="38:61" x14ac:dyDescent="0.2">
      <c r="AL790" s="31"/>
      <c r="AM790" s="31"/>
      <c r="AN790" s="31"/>
      <c r="AO790" s="31"/>
      <c r="AP790" s="31"/>
      <c r="AQ790" s="31"/>
      <c r="AR790" s="31"/>
      <c r="AS790" s="31"/>
      <c r="AT790" s="31"/>
      <c r="AU790" s="31"/>
      <c r="AV790" s="31"/>
      <c r="AW790" s="31"/>
      <c r="AX790" s="31"/>
      <c r="AY790" s="31"/>
      <c r="AZ790" s="31"/>
      <c r="BA790" s="31"/>
      <c r="BB790" s="31"/>
      <c r="BC790" s="31"/>
      <c r="BD790" s="31"/>
      <c r="BE790" s="31"/>
      <c r="BF790" s="31"/>
      <c r="BG790" s="31"/>
      <c r="BH790" s="31"/>
      <c r="BI790" s="31"/>
    </row>
    <row r="791" spans="38:61" x14ac:dyDescent="0.2">
      <c r="AL791" s="31"/>
      <c r="AM791" s="31"/>
      <c r="AN791" s="31"/>
      <c r="AO791" s="31"/>
      <c r="AP791" s="31"/>
      <c r="AQ791" s="31"/>
      <c r="AR791" s="31"/>
      <c r="AS791" s="31"/>
      <c r="AT791" s="31"/>
      <c r="AU791" s="31"/>
      <c r="AV791" s="31"/>
      <c r="AW791" s="31"/>
      <c r="AX791" s="31"/>
      <c r="AY791" s="31"/>
      <c r="AZ791" s="31"/>
      <c r="BA791" s="31"/>
      <c r="BB791" s="31"/>
      <c r="BC791" s="31"/>
      <c r="BD791" s="31"/>
      <c r="BE791" s="31"/>
      <c r="BF791" s="31"/>
      <c r="BG791" s="31"/>
      <c r="BH791" s="31"/>
      <c r="BI791" s="31"/>
    </row>
    <row r="792" spans="38:61" x14ac:dyDescent="0.2">
      <c r="AL792" s="31"/>
      <c r="AM792" s="31"/>
      <c r="AN792" s="31"/>
      <c r="AO792" s="31"/>
      <c r="AP792" s="31"/>
      <c r="AQ792" s="31"/>
      <c r="AR792" s="31"/>
      <c r="AS792" s="31"/>
      <c r="AT792" s="31"/>
      <c r="AU792" s="31"/>
      <c r="AV792" s="31"/>
      <c r="AW792" s="31"/>
      <c r="AX792" s="31"/>
      <c r="AY792" s="31"/>
      <c r="AZ792" s="31"/>
      <c r="BA792" s="31"/>
      <c r="BB792" s="31"/>
      <c r="BC792" s="31"/>
      <c r="BD792" s="31"/>
      <c r="BE792" s="31"/>
      <c r="BF792" s="31"/>
      <c r="BG792" s="31"/>
      <c r="BH792" s="31"/>
      <c r="BI792" s="31"/>
    </row>
    <row r="793" spans="38:61" x14ac:dyDescent="0.2">
      <c r="AL793" s="31"/>
      <c r="AM793" s="31"/>
      <c r="AN793" s="31"/>
      <c r="AO793" s="31"/>
      <c r="AP793" s="31"/>
      <c r="AQ793" s="31"/>
      <c r="AR793" s="31"/>
      <c r="AS793" s="31"/>
      <c r="AT793" s="31"/>
      <c r="AU793" s="31"/>
      <c r="AV793" s="31"/>
      <c r="AW793" s="31"/>
      <c r="AX793" s="31"/>
      <c r="AY793" s="31"/>
      <c r="AZ793" s="31"/>
      <c r="BA793" s="31"/>
      <c r="BB793" s="31"/>
      <c r="BC793" s="31"/>
      <c r="BD793" s="31"/>
      <c r="BE793" s="31"/>
      <c r="BF793" s="31"/>
      <c r="BG793" s="31"/>
      <c r="BH793" s="31"/>
      <c r="BI793" s="31"/>
    </row>
    <row r="794" spans="38:61" x14ac:dyDescent="0.2">
      <c r="AL794" s="31"/>
      <c r="AM794" s="31"/>
      <c r="AN794" s="31"/>
      <c r="AO794" s="31"/>
      <c r="AP794" s="31"/>
      <c r="AQ794" s="31"/>
      <c r="AR794" s="31"/>
      <c r="AS794" s="31"/>
      <c r="AT794" s="31"/>
      <c r="AU794" s="31"/>
      <c r="AV794" s="31"/>
      <c r="AW794" s="31"/>
      <c r="AX794" s="31"/>
      <c r="AY794" s="31"/>
      <c r="AZ794" s="31"/>
      <c r="BA794" s="31"/>
      <c r="BB794" s="31"/>
      <c r="BC794" s="31"/>
      <c r="BD794" s="31"/>
      <c r="BE794" s="31"/>
      <c r="BF794" s="31"/>
      <c r="BG794" s="31"/>
      <c r="BH794" s="31"/>
      <c r="BI794" s="31"/>
    </row>
    <row r="795" spans="38:61" x14ac:dyDescent="0.2">
      <c r="AL795" s="31"/>
      <c r="AM795" s="31"/>
      <c r="AN795" s="31"/>
      <c r="AO795" s="31"/>
      <c r="AP795" s="31"/>
      <c r="AQ795" s="31"/>
      <c r="AR795" s="31"/>
      <c r="AS795" s="31"/>
      <c r="AT795" s="31"/>
      <c r="AU795" s="31"/>
      <c r="AV795" s="31"/>
      <c r="AW795" s="31"/>
      <c r="AX795" s="31"/>
      <c r="AY795" s="31"/>
      <c r="AZ795" s="31"/>
      <c r="BA795" s="31"/>
      <c r="BB795" s="31"/>
      <c r="BC795" s="31"/>
      <c r="BD795" s="31"/>
      <c r="BE795" s="31"/>
      <c r="BF795" s="31"/>
      <c r="BG795" s="31"/>
      <c r="BH795" s="31"/>
      <c r="BI795" s="31"/>
    </row>
    <row r="796" spans="38:61" x14ac:dyDescent="0.2">
      <c r="AL796" s="31"/>
      <c r="AM796" s="31"/>
      <c r="AN796" s="31"/>
      <c r="AO796" s="31"/>
      <c r="AP796" s="31"/>
      <c r="AQ796" s="31"/>
      <c r="AR796" s="31"/>
      <c r="AS796" s="31"/>
      <c r="AT796" s="31"/>
      <c r="AU796" s="31"/>
      <c r="AV796" s="31"/>
      <c r="AW796" s="31"/>
      <c r="AX796" s="31"/>
      <c r="AY796" s="31"/>
      <c r="AZ796" s="31"/>
      <c r="BA796" s="31"/>
      <c r="BB796" s="31"/>
      <c r="BC796" s="31"/>
      <c r="BD796" s="31"/>
      <c r="BE796" s="31"/>
      <c r="BF796" s="31"/>
      <c r="BG796" s="31"/>
      <c r="BH796" s="31"/>
      <c r="BI796" s="31"/>
    </row>
    <row r="797" spans="38:61" x14ac:dyDescent="0.2">
      <c r="AL797" s="31"/>
      <c r="AM797" s="31"/>
      <c r="AN797" s="31"/>
      <c r="AO797" s="31"/>
      <c r="AP797" s="31"/>
      <c r="AQ797" s="31"/>
      <c r="AR797" s="31"/>
      <c r="AS797" s="31"/>
      <c r="AT797" s="31"/>
      <c r="AU797" s="31"/>
      <c r="AV797" s="31"/>
      <c r="AW797" s="31"/>
      <c r="AX797" s="31"/>
      <c r="AY797" s="31"/>
      <c r="AZ797" s="31"/>
      <c r="BA797" s="31"/>
      <c r="BB797" s="31"/>
      <c r="BC797" s="31"/>
      <c r="BD797" s="31"/>
      <c r="BE797" s="31"/>
      <c r="BF797" s="31"/>
      <c r="BG797" s="31"/>
      <c r="BH797" s="31"/>
      <c r="BI797" s="31"/>
    </row>
    <row r="798" spans="38:61" x14ac:dyDescent="0.2">
      <c r="AL798" s="31"/>
      <c r="AM798" s="31"/>
      <c r="AN798" s="31"/>
      <c r="AO798" s="31"/>
      <c r="AP798" s="31"/>
      <c r="AQ798" s="31"/>
      <c r="AR798" s="31"/>
      <c r="AS798" s="31"/>
      <c r="AT798" s="31"/>
      <c r="AU798" s="31"/>
      <c r="AV798" s="31"/>
      <c r="AW798" s="31"/>
      <c r="AX798" s="31"/>
      <c r="AY798" s="31"/>
      <c r="AZ798" s="31"/>
      <c r="BA798" s="31"/>
      <c r="BB798" s="31"/>
      <c r="BC798" s="31"/>
      <c r="BD798" s="31"/>
      <c r="BE798" s="31"/>
      <c r="BF798" s="31"/>
      <c r="BG798" s="31"/>
      <c r="BH798" s="31"/>
      <c r="BI798" s="31"/>
    </row>
    <row r="799" spans="38:61" x14ac:dyDescent="0.2">
      <c r="AL799" s="31"/>
      <c r="AM799" s="31"/>
      <c r="AN799" s="31"/>
      <c r="AO799" s="31"/>
      <c r="AP799" s="31"/>
      <c r="AQ799" s="31"/>
      <c r="AR799" s="31"/>
      <c r="AS799" s="31"/>
      <c r="AT799" s="31"/>
      <c r="AU799" s="31"/>
      <c r="AV799" s="31"/>
      <c r="AW799" s="31"/>
      <c r="AX799" s="31"/>
      <c r="AY799" s="31"/>
      <c r="AZ799" s="31"/>
      <c r="BA799" s="31"/>
      <c r="BB799" s="31"/>
      <c r="BC799" s="31"/>
      <c r="BD799" s="31"/>
      <c r="BE799" s="31"/>
      <c r="BF799" s="31"/>
      <c r="BG799" s="31"/>
      <c r="BH799" s="31"/>
      <c r="BI799" s="31"/>
    </row>
    <row r="800" spans="38:61" x14ac:dyDescent="0.2">
      <c r="AL800" s="31"/>
      <c r="AM800" s="31"/>
      <c r="AN800" s="31"/>
      <c r="AO800" s="31"/>
      <c r="AP800" s="31"/>
      <c r="AQ800" s="31"/>
      <c r="AR800" s="31"/>
      <c r="AS800" s="31"/>
      <c r="AT800" s="31"/>
      <c r="AU800" s="31"/>
      <c r="AV800" s="31"/>
      <c r="AW800" s="31"/>
      <c r="AX800" s="31"/>
      <c r="AY800" s="31"/>
      <c r="AZ800" s="31"/>
      <c r="BA800" s="31"/>
      <c r="BB800" s="31"/>
      <c r="BC800" s="31"/>
      <c r="BD800" s="31"/>
      <c r="BE800" s="31"/>
      <c r="BF800" s="31"/>
      <c r="BG800" s="31"/>
      <c r="BH800" s="31"/>
      <c r="BI800" s="31"/>
    </row>
    <row r="801" spans="38:61" x14ac:dyDescent="0.2">
      <c r="AL801" s="31"/>
      <c r="AM801" s="31"/>
      <c r="AN801" s="31"/>
      <c r="AO801" s="31"/>
      <c r="AP801" s="31"/>
      <c r="AQ801" s="31"/>
      <c r="AR801" s="31"/>
      <c r="AS801" s="31"/>
      <c r="AT801" s="31"/>
      <c r="AU801" s="31"/>
      <c r="AV801" s="31"/>
      <c r="AW801" s="31"/>
      <c r="AX801" s="31"/>
      <c r="AY801" s="31"/>
      <c r="AZ801" s="31"/>
      <c r="BA801" s="31"/>
      <c r="BB801" s="31"/>
      <c r="BC801" s="31"/>
      <c r="BD801" s="31"/>
      <c r="BE801" s="31"/>
      <c r="BF801" s="31"/>
      <c r="BG801" s="31"/>
      <c r="BH801" s="31"/>
      <c r="BI801" s="31"/>
    </row>
    <row r="802" spans="38:61" x14ac:dyDescent="0.2">
      <c r="AL802" s="31"/>
      <c r="AM802" s="31"/>
      <c r="AN802" s="31"/>
      <c r="AO802" s="31"/>
      <c r="AP802" s="31"/>
      <c r="AQ802" s="31"/>
      <c r="AR802" s="31"/>
      <c r="AS802" s="31"/>
      <c r="AT802" s="31"/>
      <c r="AU802" s="31"/>
      <c r="AV802" s="31"/>
      <c r="AW802" s="31"/>
      <c r="AX802" s="31"/>
      <c r="AY802" s="31"/>
      <c r="AZ802" s="31"/>
      <c r="BA802" s="31"/>
      <c r="BB802" s="31"/>
      <c r="BC802" s="31"/>
      <c r="BD802" s="31"/>
      <c r="BE802" s="31"/>
      <c r="BF802" s="31"/>
      <c r="BG802" s="31"/>
      <c r="BH802" s="31"/>
      <c r="BI802" s="31"/>
    </row>
    <row r="803" spans="38:61" x14ac:dyDescent="0.2">
      <c r="AL803" s="31"/>
      <c r="AM803" s="31"/>
      <c r="AN803" s="31"/>
      <c r="AO803" s="31"/>
      <c r="AP803" s="31"/>
      <c r="AQ803" s="31"/>
      <c r="AR803" s="31"/>
      <c r="AS803" s="31"/>
      <c r="AT803" s="31"/>
      <c r="AU803" s="31"/>
      <c r="AV803" s="31"/>
      <c r="AW803" s="31"/>
      <c r="AX803" s="31"/>
      <c r="AY803" s="31"/>
      <c r="AZ803" s="31"/>
      <c r="BA803" s="31"/>
      <c r="BB803" s="31"/>
      <c r="BC803" s="31"/>
      <c r="BD803" s="31"/>
      <c r="BE803" s="31"/>
      <c r="BF803" s="31"/>
      <c r="BG803" s="31"/>
      <c r="BH803" s="31"/>
      <c r="BI803" s="31"/>
    </row>
    <row r="804" spans="38:61" x14ac:dyDescent="0.2">
      <c r="AL804" s="31"/>
      <c r="AM804" s="31"/>
      <c r="AN804" s="31"/>
      <c r="AO804" s="31"/>
      <c r="AP804" s="31"/>
      <c r="AQ804" s="31"/>
      <c r="AR804" s="31"/>
      <c r="AS804" s="31"/>
      <c r="AT804" s="31"/>
      <c r="AU804" s="31"/>
      <c r="AV804" s="31"/>
      <c r="AW804" s="31"/>
      <c r="AX804" s="31"/>
      <c r="AY804" s="31"/>
      <c r="AZ804" s="31"/>
      <c r="BA804" s="31"/>
      <c r="BB804" s="31"/>
      <c r="BC804" s="31"/>
      <c r="BD804" s="31"/>
      <c r="BE804" s="31"/>
      <c r="BF804" s="31"/>
      <c r="BG804" s="31"/>
      <c r="BH804" s="31"/>
      <c r="BI804" s="31"/>
    </row>
    <row r="805" spans="38:61" x14ac:dyDescent="0.2">
      <c r="AL805" s="31"/>
      <c r="AM805" s="31"/>
      <c r="AN805" s="31"/>
      <c r="AO805" s="31"/>
      <c r="AP805" s="31"/>
      <c r="AQ805" s="31"/>
      <c r="AR805" s="31"/>
      <c r="AS805" s="31"/>
      <c r="AT805" s="31"/>
      <c r="AU805" s="31"/>
      <c r="AV805" s="31"/>
      <c r="AW805" s="31"/>
      <c r="AX805" s="31"/>
      <c r="AY805" s="31"/>
      <c r="AZ805" s="31"/>
      <c r="BA805" s="31"/>
      <c r="BB805" s="31"/>
      <c r="BC805" s="31"/>
      <c r="BD805" s="31"/>
      <c r="BE805" s="31"/>
      <c r="BF805" s="31"/>
      <c r="BG805" s="31"/>
      <c r="BH805" s="31"/>
      <c r="BI805" s="31"/>
    </row>
    <row r="806" spans="38:61" x14ac:dyDescent="0.2">
      <c r="AL806" s="31"/>
      <c r="AM806" s="31"/>
      <c r="AN806" s="31"/>
      <c r="AO806" s="31"/>
      <c r="AP806" s="31"/>
      <c r="AQ806" s="31"/>
      <c r="AR806" s="31"/>
      <c r="AS806" s="31"/>
      <c r="AT806" s="31"/>
      <c r="AU806" s="31"/>
      <c r="AV806" s="31"/>
      <c r="AW806" s="31"/>
      <c r="AX806" s="31"/>
      <c r="AY806" s="31"/>
      <c r="AZ806" s="31"/>
      <c r="BA806" s="31"/>
      <c r="BB806" s="31"/>
      <c r="BC806" s="31"/>
      <c r="BD806" s="31"/>
      <c r="BE806" s="31"/>
      <c r="BF806" s="31"/>
      <c r="BG806" s="31"/>
      <c r="BH806" s="31"/>
      <c r="BI806" s="31"/>
    </row>
    <row r="807" spans="38:61" x14ac:dyDescent="0.2">
      <c r="AL807" s="31"/>
      <c r="AM807" s="31"/>
      <c r="AN807" s="31"/>
      <c r="AO807" s="31"/>
      <c r="AP807" s="31"/>
      <c r="AQ807" s="31"/>
      <c r="AR807" s="31"/>
      <c r="AS807" s="31"/>
      <c r="AT807" s="31"/>
      <c r="AU807" s="31"/>
      <c r="AV807" s="31"/>
      <c r="AW807" s="31"/>
      <c r="AX807" s="31"/>
      <c r="AY807" s="31"/>
      <c r="AZ807" s="31"/>
      <c r="BA807" s="31"/>
      <c r="BB807" s="31"/>
      <c r="BC807" s="31"/>
      <c r="BD807" s="31"/>
      <c r="BE807" s="31"/>
      <c r="BF807" s="31"/>
      <c r="BG807" s="31"/>
      <c r="BH807" s="31"/>
      <c r="BI807" s="31"/>
    </row>
    <row r="808" spans="38:61" x14ac:dyDescent="0.2">
      <c r="AL808" s="31"/>
      <c r="AM808" s="31"/>
      <c r="AN808" s="31"/>
      <c r="AO808" s="31"/>
      <c r="AP808" s="31"/>
      <c r="AQ808" s="31"/>
      <c r="AR808" s="31"/>
      <c r="AS808" s="31"/>
      <c r="AT808" s="31"/>
      <c r="AU808" s="31"/>
      <c r="AV808" s="31"/>
      <c r="AW808" s="31"/>
      <c r="AX808" s="31"/>
      <c r="AY808" s="31"/>
      <c r="AZ808" s="31"/>
      <c r="BA808" s="31"/>
      <c r="BB808" s="31"/>
      <c r="BC808" s="31"/>
      <c r="BD808" s="31"/>
      <c r="BE808" s="31"/>
      <c r="BF808" s="31"/>
      <c r="BG808" s="31"/>
      <c r="BH808" s="31"/>
      <c r="BI808" s="31"/>
    </row>
    <row r="809" spans="38:61" x14ac:dyDescent="0.2">
      <c r="AL809" s="31"/>
      <c r="AM809" s="31"/>
      <c r="AN809" s="31"/>
      <c r="AO809" s="31"/>
      <c r="AP809" s="31"/>
      <c r="AQ809" s="31"/>
      <c r="AR809" s="31"/>
      <c r="AS809" s="31"/>
      <c r="AT809" s="31"/>
      <c r="AU809" s="31"/>
      <c r="AV809" s="31"/>
      <c r="AW809" s="31"/>
      <c r="AX809" s="31"/>
      <c r="AY809" s="31"/>
      <c r="AZ809" s="31"/>
      <c r="BA809" s="31"/>
      <c r="BB809" s="31"/>
      <c r="BC809" s="31"/>
      <c r="BD809" s="31"/>
      <c r="BE809" s="31"/>
      <c r="BF809" s="31"/>
      <c r="BG809" s="31"/>
      <c r="BH809" s="31"/>
      <c r="BI809" s="31"/>
    </row>
    <row r="810" spans="38:61" x14ac:dyDescent="0.2">
      <c r="AL810" s="31"/>
      <c r="AM810" s="31"/>
      <c r="AN810" s="31"/>
      <c r="AO810" s="31"/>
      <c r="AP810" s="31"/>
      <c r="AQ810" s="31"/>
      <c r="AR810" s="31"/>
      <c r="AS810" s="31"/>
      <c r="AT810" s="31"/>
      <c r="AU810" s="31"/>
      <c r="AV810" s="31"/>
      <c r="AW810" s="31"/>
      <c r="AX810" s="31"/>
      <c r="AY810" s="31"/>
      <c r="AZ810" s="31"/>
      <c r="BA810" s="31"/>
      <c r="BB810" s="31"/>
      <c r="BC810" s="31"/>
      <c r="BD810" s="31"/>
      <c r="BE810" s="31"/>
      <c r="BF810" s="31"/>
      <c r="BG810" s="31"/>
      <c r="BH810" s="31"/>
      <c r="BI810" s="31"/>
    </row>
    <row r="811" spans="38:61" x14ac:dyDescent="0.2">
      <c r="AL811" s="31"/>
      <c r="AM811" s="31"/>
      <c r="AN811" s="31"/>
      <c r="AO811" s="31"/>
      <c r="AP811" s="31"/>
      <c r="AQ811" s="31"/>
      <c r="AR811" s="31"/>
      <c r="AS811" s="31"/>
      <c r="AT811" s="31"/>
      <c r="AU811" s="31"/>
      <c r="AV811" s="31"/>
      <c r="AW811" s="31"/>
      <c r="AX811" s="31"/>
      <c r="AY811" s="31"/>
      <c r="AZ811" s="31"/>
      <c r="BA811" s="31"/>
      <c r="BB811" s="31"/>
      <c r="BC811" s="31"/>
      <c r="BD811" s="31"/>
      <c r="BE811" s="31"/>
      <c r="BF811" s="31"/>
      <c r="BG811" s="31"/>
      <c r="BH811" s="31"/>
      <c r="BI811" s="31"/>
    </row>
    <row r="812" spans="38:61" x14ac:dyDescent="0.2">
      <c r="AL812" s="31"/>
      <c r="AM812" s="31"/>
      <c r="AN812" s="31"/>
      <c r="AO812" s="31"/>
      <c r="AP812" s="31"/>
      <c r="AQ812" s="31"/>
      <c r="AR812" s="31"/>
      <c r="AS812" s="31"/>
      <c r="AT812" s="31"/>
      <c r="AU812" s="31"/>
      <c r="AV812" s="31"/>
      <c r="AW812" s="31"/>
      <c r="AX812" s="31"/>
      <c r="AY812" s="31"/>
      <c r="AZ812" s="31"/>
      <c r="BA812" s="31"/>
      <c r="BB812" s="31"/>
      <c r="BC812" s="31"/>
      <c r="BD812" s="31"/>
      <c r="BE812" s="31"/>
      <c r="BF812" s="31"/>
      <c r="BG812" s="31"/>
      <c r="BH812" s="31"/>
      <c r="BI812" s="31"/>
    </row>
    <row r="813" spans="38:61" x14ac:dyDescent="0.2">
      <c r="AL813" s="31"/>
      <c r="AM813" s="31"/>
      <c r="AN813" s="31"/>
      <c r="AO813" s="31"/>
      <c r="AP813" s="31"/>
      <c r="AQ813" s="31"/>
      <c r="AR813" s="31"/>
      <c r="AS813" s="31"/>
      <c r="AT813" s="31"/>
      <c r="AU813" s="31"/>
      <c r="AV813" s="31"/>
      <c r="AW813" s="31"/>
      <c r="AX813" s="31"/>
      <c r="AY813" s="31"/>
      <c r="AZ813" s="31"/>
      <c r="BA813" s="31"/>
      <c r="BB813" s="31"/>
      <c r="BC813" s="31"/>
      <c r="BD813" s="31"/>
      <c r="BE813" s="31"/>
      <c r="BF813" s="31"/>
      <c r="BG813" s="31"/>
      <c r="BH813" s="31"/>
      <c r="BI813" s="31"/>
    </row>
    <row r="814" spans="38:61" x14ac:dyDescent="0.2">
      <c r="AL814" s="31"/>
      <c r="AM814" s="31"/>
      <c r="AN814" s="31"/>
      <c r="AO814" s="31"/>
      <c r="AP814" s="31"/>
      <c r="AQ814" s="31"/>
      <c r="AR814" s="31"/>
      <c r="AS814" s="31"/>
      <c r="AT814" s="31"/>
      <c r="AU814" s="31"/>
      <c r="AV814" s="31"/>
      <c r="AW814" s="31"/>
      <c r="AX814" s="31"/>
      <c r="AY814" s="31"/>
      <c r="AZ814" s="31"/>
      <c r="BA814" s="31"/>
      <c r="BB814" s="31"/>
      <c r="BC814" s="31"/>
      <c r="BD814" s="31"/>
      <c r="BE814" s="31"/>
      <c r="BF814" s="31"/>
      <c r="BG814" s="31"/>
      <c r="BH814" s="31"/>
      <c r="BI814" s="31"/>
    </row>
    <row r="815" spans="38:61" x14ac:dyDescent="0.2">
      <c r="AL815" s="31"/>
      <c r="AM815" s="31"/>
      <c r="AN815" s="31"/>
      <c r="AO815" s="31"/>
      <c r="AP815" s="31"/>
      <c r="AQ815" s="31"/>
      <c r="AR815" s="31"/>
      <c r="AS815" s="31"/>
      <c r="AT815" s="31"/>
      <c r="AU815" s="31"/>
      <c r="AV815" s="31"/>
      <c r="AW815" s="31"/>
      <c r="AX815" s="31"/>
      <c r="AY815" s="31"/>
      <c r="AZ815" s="31"/>
      <c r="BA815" s="31"/>
      <c r="BB815" s="31"/>
      <c r="BC815" s="31"/>
      <c r="BD815" s="31"/>
      <c r="BE815" s="31"/>
      <c r="BF815" s="31"/>
      <c r="BG815" s="31"/>
      <c r="BH815" s="31"/>
      <c r="BI815" s="31"/>
    </row>
    <row r="816" spans="38:61" x14ac:dyDescent="0.2">
      <c r="AL816" s="31"/>
      <c r="AM816" s="31"/>
      <c r="AN816" s="31"/>
      <c r="AO816" s="31"/>
      <c r="AP816" s="31"/>
      <c r="AQ816" s="31"/>
      <c r="AR816" s="31"/>
      <c r="AS816" s="31"/>
      <c r="AT816" s="31"/>
      <c r="AU816" s="31"/>
      <c r="AV816" s="31"/>
      <c r="AW816" s="31"/>
      <c r="AX816" s="31"/>
      <c r="AY816" s="31"/>
      <c r="AZ816" s="31"/>
      <c r="BA816" s="31"/>
      <c r="BB816" s="31"/>
      <c r="BC816" s="31"/>
      <c r="BD816" s="31"/>
      <c r="BE816" s="31"/>
      <c r="BF816" s="31"/>
      <c r="BG816" s="31"/>
      <c r="BH816" s="31"/>
      <c r="BI816" s="31"/>
    </row>
    <row r="817" spans="38:61" x14ac:dyDescent="0.2">
      <c r="AL817" s="31"/>
      <c r="AM817" s="31"/>
      <c r="AN817" s="31"/>
      <c r="AO817" s="31"/>
      <c r="AP817" s="31"/>
      <c r="AQ817" s="31"/>
      <c r="AR817" s="31"/>
      <c r="AS817" s="31"/>
      <c r="AT817" s="31"/>
      <c r="AU817" s="31"/>
      <c r="AV817" s="31"/>
      <c r="AW817" s="31"/>
      <c r="AX817" s="31"/>
      <c r="AY817" s="31"/>
      <c r="AZ817" s="31"/>
      <c r="BA817" s="31"/>
      <c r="BB817" s="31"/>
      <c r="BC817" s="31"/>
      <c r="BD817" s="31"/>
      <c r="BE817" s="31"/>
      <c r="BF817" s="31"/>
      <c r="BG817" s="31"/>
      <c r="BH817" s="31"/>
      <c r="BI817" s="31"/>
    </row>
    <row r="818" spans="38:61" x14ac:dyDescent="0.2">
      <c r="AL818" s="31"/>
      <c r="AM818" s="31"/>
      <c r="AN818" s="31"/>
      <c r="AO818" s="31"/>
      <c r="AP818" s="31"/>
      <c r="AQ818" s="31"/>
      <c r="AR818" s="31"/>
      <c r="AS818" s="31"/>
      <c r="AT818" s="31"/>
      <c r="AU818" s="31"/>
      <c r="AV818" s="31"/>
      <c r="AW818" s="31"/>
      <c r="AX818" s="31"/>
      <c r="AY818" s="31"/>
      <c r="AZ818" s="31"/>
      <c r="BA818" s="31"/>
      <c r="BB818" s="31"/>
      <c r="BC818" s="31"/>
      <c r="BD818" s="31"/>
      <c r="BE818" s="31"/>
      <c r="BF818" s="31"/>
      <c r="BG818" s="31"/>
      <c r="BH818" s="31"/>
      <c r="BI818" s="31"/>
    </row>
    <row r="819" spans="38:61" x14ac:dyDescent="0.2">
      <c r="AL819" s="31"/>
      <c r="AM819" s="31"/>
      <c r="AN819" s="31"/>
      <c r="AO819" s="31"/>
      <c r="AP819" s="31"/>
      <c r="AQ819" s="31"/>
      <c r="AR819" s="31"/>
      <c r="AS819" s="31"/>
      <c r="AT819" s="31"/>
      <c r="AU819" s="31"/>
      <c r="AV819" s="31"/>
      <c r="AW819" s="31"/>
      <c r="AX819" s="31"/>
      <c r="AY819" s="31"/>
      <c r="AZ819" s="31"/>
      <c r="BA819" s="31"/>
      <c r="BB819" s="31"/>
      <c r="BC819" s="31"/>
      <c r="BD819" s="31"/>
      <c r="BE819" s="31"/>
      <c r="BF819" s="31"/>
      <c r="BG819" s="31"/>
      <c r="BH819" s="31"/>
      <c r="BI819" s="31"/>
    </row>
    <row r="820" spans="38:61" x14ac:dyDescent="0.2">
      <c r="AL820" s="31"/>
      <c r="AM820" s="31"/>
      <c r="AN820" s="31"/>
      <c r="AO820" s="31"/>
      <c r="AP820" s="31"/>
      <c r="AQ820" s="31"/>
      <c r="AR820" s="31"/>
      <c r="AS820" s="31"/>
      <c r="AT820" s="31"/>
      <c r="AU820" s="31"/>
      <c r="AV820" s="31"/>
      <c r="AW820" s="31"/>
      <c r="AX820" s="31"/>
      <c r="AY820" s="31"/>
      <c r="AZ820" s="31"/>
      <c r="BA820" s="31"/>
      <c r="BB820" s="31"/>
      <c r="BC820" s="31"/>
      <c r="BD820" s="31"/>
      <c r="BE820" s="31"/>
      <c r="BF820" s="31"/>
      <c r="BG820" s="31"/>
      <c r="BH820" s="31"/>
      <c r="BI820" s="31"/>
    </row>
    <row r="821" spans="38:61" x14ac:dyDescent="0.2">
      <c r="AL821" s="31"/>
      <c r="AM821" s="31"/>
      <c r="AN821" s="31"/>
      <c r="AO821" s="31"/>
      <c r="AP821" s="31"/>
      <c r="AQ821" s="31"/>
      <c r="AR821" s="31"/>
      <c r="AS821" s="31"/>
      <c r="AT821" s="31"/>
      <c r="AU821" s="31"/>
      <c r="AV821" s="31"/>
      <c r="AW821" s="31"/>
      <c r="AX821" s="31"/>
      <c r="AY821" s="31"/>
      <c r="AZ821" s="31"/>
      <c r="BA821" s="31"/>
      <c r="BB821" s="31"/>
      <c r="BC821" s="31"/>
      <c r="BD821" s="31"/>
      <c r="BE821" s="31"/>
      <c r="BF821" s="31"/>
      <c r="BG821" s="31"/>
      <c r="BH821" s="31"/>
      <c r="BI821" s="31"/>
    </row>
    <row r="822" spans="38:61" x14ac:dyDescent="0.2">
      <c r="AL822" s="31"/>
      <c r="AM822" s="31"/>
      <c r="AN822" s="31"/>
      <c r="AO822" s="31"/>
      <c r="AP822" s="31"/>
      <c r="AQ822" s="31"/>
      <c r="AR822" s="31"/>
      <c r="AS822" s="31"/>
      <c r="AT822" s="31"/>
      <c r="AU822" s="31"/>
      <c r="AV822" s="31"/>
      <c r="AW822" s="31"/>
      <c r="AX822" s="31"/>
      <c r="AY822" s="31"/>
      <c r="AZ822" s="31"/>
      <c r="BA822" s="31"/>
      <c r="BB822" s="31"/>
      <c r="BC822" s="31"/>
      <c r="BD822" s="31"/>
      <c r="BE822" s="31"/>
      <c r="BF822" s="31"/>
      <c r="BG822" s="31"/>
      <c r="BH822" s="31"/>
      <c r="BI822" s="31"/>
    </row>
    <row r="823" spans="38:61" x14ac:dyDescent="0.2">
      <c r="AL823" s="31"/>
      <c r="AM823" s="31"/>
      <c r="AN823" s="31"/>
      <c r="AO823" s="31"/>
      <c r="AP823" s="31"/>
      <c r="AQ823" s="31"/>
      <c r="AR823" s="31"/>
      <c r="AS823" s="31"/>
      <c r="AT823" s="31"/>
      <c r="AU823" s="31"/>
      <c r="AV823" s="31"/>
      <c r="AW823" s="31"/>
      <c r="AX823" s="31"/>
      <c r="AY823" s="31"/>
      <c r="AZ823" s="31"/>
      <c r="BA823" s="31"/>
      <c r="BB823" s="31"/>
      <c r="BC823" s="31"/>
      <c r="BD823" s="31"/>
      <c r="BE823" s="31"/>
      <c r="BF823" s="31"/>
      <c r="BG823" s="31"/>
      <c r="BH823" s="31"/>
      <c r="BI823" s="31"/>
    </row>
    <row r="824" spans="38:61" x14ac:dyDescent="0.2">
      <c r="AL824" s="31"/>
      <c r="AM824" s="31"/>
      <c r="AN824" s="31"/>
      <c r="AO824" s="31"/>
      <c r="AP824" s="31"/>
      <c r="AQ824" s="31"/>
      <c r="AR824" s="31"/>
      <c r="AS824" s="31"/>
      <c r="AT824" s="31"/>
      <c r="AU824" s="31"/>
      <c r="AV824" s="31"/>
      <c r="AW824" s="31"/>
      <c r="AX824" s="31"/>
      <c r="AY824" s="31"/>
      <c r="AZ824" s="31"/>
      <c r="BA824" s="31"/>
      <c r="BB824" s="31"/>
      <c r="BC824" s="31"/>
      <c r="BD824" s="31"/>
      <c r="BE824" s="31"/>
      <c r="BF824" s="31"/>
      <c r="BG824" s="31"/>
      <c r="BH824" s="31"/>
      <c r="BI824" s="31"/>
    </row>
    <row r="825" spans="38:61" x14ac:dyDescent="0.2">
      <c r="AL825" s="31"/>
      <c r="AM825" s="31"/>
      <c r="AN825" s="31"/>
      <c r="AO825" s="31"/>
      <c r="AP825" s="31"/>
      <c r="AQ825" s="31"/>
      <c r="AR825" s="31"/>
      <c r="AS825" s="31"/>
      <c r="AT825" s="31"/>
      <c r="AU825" s="31"/>
      <c r="AV825" s="31"/>
      <c r="AW825" s="31"/>
      <c r="AX825" s="31"/>
      <c r="AY825" s="31"/>
      <c r="AZ825" s="31"/>
      <c r="BA825" s="31"/>
      <c r="BB825" s="31"/>
      <c r="BC825" s="31"/>
      <c r="BD825" s="31"/>
      <c r="BE825" s="31"/>
      <c r="BF825" s="31"/>
      <c r="BG825" s="31"/>
      <c r="BH825" s="31"/>
      <c r="BI825" s="31"/>
    </row>
    <row r="826" spans="38:61" x14ac:dyDescent="0.2">
      <c r="AL826" s="31"/>
      <c r="AM826" s="31"/>
      <c r="AN826" s="31"/>
      <c r="AO826" s="31"/>
      <c r="AP826" s="31"/>
      <c r="AQ826" s="31"/>
      <c r="AR826" s="31"/>
      <c r="AS826" s="31"/>
      <c r="AT826" s="31"/>
      <c r="AU826" s="31"/>
      <c r="AV826" s="31"/>
      <c r="AW826" s="31"/>
      <c r="AX826" s="31"/>
      <c r="AY826" s="31"/>
      <c r="AZ826" s="31"/>
      <c r="BA826" s="31"/>
      <c r="BB826" s="31"/>
      <c r="BC826" s="31"/>
      <c r="BD826" s="31"/>
      <c r="BE826" s="31"/>
      <c r="BF826" s="31"/>
      <c r="BG826" s="31"/>
      <c r="BH826" s="31"/>
      <c r="BI826" s="31"/>
    </row>
    <row r="827" spans="38:61" x14ac:dyDescent="0.2">
      <c r="AL827" s="31"/>
      <c r="AM827" s="31"/>
      <c r="AN827" s="31"/>
      <c r="AO827" s="31"/>
      <c r="AP827" s="31"/>
      <c r="AQ827" s="31"/>
      <c r="AR827" s="31"/>
      <c r="AS827" s="31"/>
      <c r="AT827" s="31"/>
      <c r="AU827" s="31"/>
      <c r="AV827" s="31"/>
      <c r="AW827" s="31"/>
      <c r="AX827" s="31"/>
      <c r="AY827" s="31"/>
      <c r="AZ827" s="31"/>
      <c r="BA827" s="31"/>
      <c r="BB827" s="31"/>
      <c r="BC827" s="31"/>
      <c r="BD827" s="31"/>
      <c r="BE827" s="31"/>
      <c r="BF827" s="31"/>
      <c r="BG827" s="31"/>
      <c r="BH827" s="31"/>
      <c r="BI827" s="31"/>
    </row>
    <row r="828" spans="38:61" x14ac:dyDescent="0.2">
      <c r="AL828" s="31"/>
      <c r="AM828" s="31"/>
      <c r="AN828" s="31"/>
      <c r="AO828" s="31"/>
      <c r="AP828" s="31"/>
      <c r="AQ828" s="31"/>
      <c r="AR828" s="31"/>
      <c r="AS828" s="31"/>
      <c r="AT828" s="31"/>
      <c r="AU828" s="31"/>
      <c r="AV828" s="31"/>
      <c r="AW828" s="31"/>
      <c r="AX828" s="31"/>
      <c r="AY828" s="31"/>
      <c r="AZ828" s="31"/>
      <c r="BA828" s="31"/>
      <c r="BB828" s="31"/>
      <c r="BC828" s="31"/>
      <c r="BD828" s="31"/>
      <c r="BE828" s="31"/>
      <c r="BF828" s="31"/>
      <c r="BG828" s="31"/>
      <c r="BH828" s="31"/>
      <c r="BI828" s="31"/>
    </row>
    <row r="829" spans="38:61" x14ac:dyDescent="0.2">
      <c r="AL829" s="31"/>
      <c r="AM829" s="31"/>
      <c r="AN829" s="31"/>
      <c r="AO829" s="31"/>
      <c r="AP829" s="31"/>
      <c r="AQ829" s="31"/>
      <c r="AR829" s="31"/>
      <c r="AS829" s="31"/>
      <c r="AT829" s="31"/>
      <c r="AU829" s="31"/>
      <c r="AV829" s="31"/>
      <c r="AW829" s="31"/>
      <c r="AX829" s="31"/>
      <c r="AY829" s="31"/>
      <c r="AZ829" s="31"/>
      <c r="BA829" s="31"/>
      <c r="BB829" s="31"/>
      <c r="BC829" s="31"/>
      <c r="BD829" s="31"/>
      <c r="BE829" s="31"/>
      <c r="BF829" s="31"/>
      <c r="BG829" s="31"/>
      <c r="BH829" s="31"/>
      <c r="BI829" s="31"/>
    </row>
    <row r="830" spans="38:61" x14ac:dyDescent="0.2">
      <c r="AL830" s="31"/>
      <c r="AM830" s="31"/>
      <c r="AN830" s="31"/>
      <c r="AO830" s="31"/>
      <c r="AP830" s="31"/>
      <c r="AQ830" s="31"/>
      <c r="AR830" s="31"/>
      <c r="AS830" s="31"/>
      <c r="AT830" s="31"/>
      <c r="AU830" s="31"/>
      <c r="AV830" s="31"/>
      <c r="AW830" s="31"/>
      <c r="AX830" s="31"/>
      <c r="AY830" s="31"/>
      <c r="AZ830" s="31"/>
      <c r="BA830" s="31"/>
      <c r="BB830" s="31"/>
      <c r="BC830" s="31"/>
      <c r="BD830" s="31"/>
      <c r="BE830" s="31"/>
      <c r="BF830" s="31"/>
      <c r="BG830" s="31"/>
      <c r="BH830" s="31"/>
      <c r="BI830" s="31"/>
    </row>
    <row r="831" spans="38:61" x14ac:dyDescent="0.2">
      <c r="AL831" s="31"/>
      <c r="AM831" s="31"/>
      <c r="AN831" s="31"/>
      <c r="AO831" s="31"/>
      <c r="AP831" s="31"/>
      <c r="AQ831" s="31"/>
      <c r="AR831" s="31"/>
      <c r="AS831" s="31"/>
      <c r="AT831" s="31"/>
      <c r="AU831" s="31"/>
      <c r="AV831" s="31"/>
      <c r="AW831" s="31"/>
      <c r="AX831" s="31"/>
      <c r="AY831" s="31"/>
      <c r="AZ831" s="31"/>
      <c r="BA831" s="31"/>
      <c r="BB831" s="31"/>
      <c r="BC831" s="31"/>
      <c r="BD831" s="31"/>
      <c r="BE831" s="31"/>
      <c r="BF831" s="31"/>
      <c r="BG831" s="31"/>
      <c r="BH831" s="31"/>
      <c r="BI831" s="31"/>
    </row>
    <row r="832" spans="38:61" x14ac:dyDescent="0.2">
      <c r="AL832" s="31"/>
      <c r="AM832" s="31"/>
      <c r="AN832" s="31"/>
      <c r="AO832" s="31"/>
      <c r="AP832" s="31"/>
      <c r="AQ832" s="31"/>
      <c r="AR832" s="31"/>
      <c r="AS832" s="31"/>
      <c r="AT832" s="31"/>
      <c r="AU832" s="31"/>
      <c r="AV832" s="31"/>
      <c r="AW832" s="31"/>
      <c r="AX832" s="31"/>
      <c r="AY832" s="31"/>
      <c r="AZ832" s="31"/>
      <c r="BA832" s="31"/>
      <c r="BB832" s="31"/>
      <c r="BC832" s="31"/>
      <c r="BD832" s="31"/>
      <c r="BE832" s="31"/>
      <c r="BF832" s="31"/>
      <c r="BG832" s="31"/>
      <c r="BH832" s="31"/>
      <c r="BI832" s="31"/>
    </row>
    <row r="833" spans="38:61" x14ac:dyDescent="0.2">
      <c r="AL833" s="31"/>
      <c r="AM833" s="31"/>
      <c r="AN833" s="31"/>
      <c r="AO833" s="31"/>
      <c r="AP833" s="31"/>
      <c r="AQ833" s="31"/>
      <c r="AR833" s="31"/>
      <c r="AS833" s="31"/>
      <c r="AT833" s="31"/>
      <c r="AU833" s="31"/>
      <c r="AV833" s="31"/>
      <c r="AW833" s="31"/>
      <c r="AX833" s="31"/>
      <c r="AY833" s="31"/>
      <c r="AZ833" s="31"/>
      <c r="BA833" s="31"/>
      <c r="BB833" s="31"/>
      <c r="BC833" s="31"/>
      <c r="BD833" s="31"/>
      <c r="BE833" s="31"/>
      <c r="BF833" s="31"/>
      <c r="BG833" s="31"/>
      <c r="BH833" s="31"/>
      <c r="BI833" s="31"/>
    </row>
    <row r="834" spans="38:61" x14ac:dyDescent="0.2">
      <c r="AL834" s="31"/>
      <c r="AM834" s="31"/>
      <c r="AN834" s="31"/>
      <c r="AO834" s="31"/>
      <c r="AP834" s="31"/>
      <c r="AQ834" s="31"/>
      <c r="AR834" s="31"/>
      <c r="AS834" s="31"/>
      <c r="AT834" s="31"/>
      <c r="AU834" s="31"/>
      <c r="AV834" s="31"/>
      <c r="AW834" s="31"/>
      <c r="AX834" s="31"/>
      <c r="AY834" s="31"/>
      <c r="AZ834" s="31"/>
      <c r="BA834" s="31"/>
      <c r="BB834" s="31"/>
      <c r="BC834" s="31"/>
      <c r="BD834" s="31"/>
      <c r="BE834" s="31"/>
      <c r="BF834" s="31"/>
      <c r="BG834" s="31"/>
      <c r="BH834" s="31"/>
      <c r="BI834" s="31"/>
    </row>
    <row r="835" spans="38:61" x14ac:dyDescent="0.2">
      <c r="AL835" s="31"/>
      <c r="AM835" s="31"/>
      <c r="AN835" s="31"/>
      <c r="AO835" s="31"/>
      <c r="AP835" s="31"/>
      <c r="AQ835" s="31"/>
      <c r="AR835" s="31"/>
      <c r="AS835" s="31"/>
      <c r="AT835" s="31"/>
      <c r="AU835" s="31"/>
      <c r="AV835" s="31"/>
      <c r="AW835" s="31"/>
      <c r="AX835" s="31"/>
      <c r="AY835" s="31"/>
      <c r="AZ835" s="31"/>
      <c r="BA835" s="31"/>
      <c r="BB835" s="31"/>
      <c r="BC835" s="31"/>
      <c r="BD835" s="31"/>
      <c r="BE835" s="31"/>
      <c r="BF835" s="31"/>
      <c r="BG835" s="31"/>
      <c r="BH835" s="31"/>
      <c r="BI835" s="31"/>
    </row>
    <row r="836" spans="38:61" x14ac:dyDescent="0.2">
      <c r="AL836" s="31"/>
      <c r="AM836" s="31"/>
      <c r="AN836" s="31"/>
      <c r="AO836" s="31"/>
      <c r="AP836" s="31"/>
      <c r="AQ836" s="31"/>
      <c r="AR836" s="31"/>
      <c r="AS836" s="31"/>
      <c r="AT836" s="31"/>
      <c r="AU836" s="31"/>
      <c r="AV836" s="31"/>
      <c r="AW836" s="31"/>
      <c r="AX836" s="31"/>
      <c r="AY836" s="31"/>
      <c r="AZ836" s="31"/>
      <c r="BA836" s="31"/>
      <c r="BB836" s="31"/>
      <c r="BC836" s="31"/>
      <c r="BD836" s="31"/>
      <c r="BE836" s="31"/>
      <c r="BF836" s="31"/>
      <c r="BG836" s="31"/>
      <c r="BH836" s="31"/>
      <c r="BI836" s="31"/>
    </row>
    <row r="837" spans="38:61" x14ac:dyDescent="0.2">
      <c r="AL837" s="31"/>
      <c r="AM837" s="31"/>
      <c r="AN837" s="31"/>
      <c r="AO837" s="31"/>
      <c r="AP837" s="31"/>
      <c r="AQ837" s="31"/>
      <c r="AR837" s="31"/>
      <c r="AS837" s="31"/>
      <c r="AT837" s="31"/>
      <c r="AU837" s="31"/>
      <c r="AV837" s="31"/>
      <c r="AW837" s="31"/>
      <c r="AX837" s="31"/>
      <c r="AY837" s="31"/>
      <c r="AZ837" s="31"/>
      <c r="BA837" s="31"/>
      <c r="BB837" s="31"/>
      <c r="BC837" s="31"/>
      <c r="BD837" s="31"/>
      <c r="BE837" s="31"/>
      <c r="BF837" s="31"/>
      <c r="BG837" s="31"/>
      <c r="BH837" s="31"/>
      <c r="BI837" s="31"/>
    </row>
    <row r="838" spans="38:61" x14ac:dyDescent="0.2">
      <c r="AL838" s="31"/>
      <c r="AM838" s="31"/>
      <c r="AN838" s="31"/>
      <c r="AO838" s="31"/>
      <c r="AP838" s="31"/>
      <c r="AQ838" s="31"/>
      <c r="AR838" s="31"/>
      <c r="AS838" s="31"/>
      <c r="AT838" s="31"/>
      <c r="AU838" s="31"/>
      <c r="AV838" s="31"/>
      <c r="AW838" s="31"/>
      <c r="AX838" s="31"/>
      <c r="AY838" s="31"/>
      <c r="AZ838" s="31"/>
      <c r="BA838" s="31"/>
      <c r="BB838" s="31"/>
      <c r="BC838" s="31"/>
      <c r="BD838" s="31"/>
      <c r="BE838" s="31"/>
      <c r="BF838" s="31"/>
      <c r="BG838" s="31"/>
      <c r="BH838" s="31"/>
      <c r="BI838" s="31"/>
    </row>
    <row r="839" spans="38:61" x14ac:dyDescent="0.2">
      <c r="AL839" s="31"/>
      <c r="AM839" s="31"/>
      <c r="AN839" s="31"/>
      <c r="AO839" s="31"/>
      <c r="AP839" s="31"/>
      <c r="AQ839" s="31"/>
      <c r="AR839" s="31"/>
      <c r="AS839" s="31"/>
      <c r="AT839" s="31"/>
      <c r="AU839" s="31"/>
      <c r="AV839" s="31"/>
      <c r="AW839" s="31"/>
      <c r="AX839" s="31"/>
      <c r="AY839" s="31"/>
      <c r="AZ839" s="31"/>
      <c r="BA839" s="31"/>
      <c r="BB839" s="31"/>
      <c r="BC839" s="31"/>
      <c r="BD839" s="31"/>
      <c r="BE839" s="31"/>
      <c r="BF839" s="31"/>
      <c r="BG839" s="31"/>
      <c r="BH839" s="31"/>
      <c r="BI839" s="31"/>
    </row>
    <row r="840" spans="38:61" x14ac:dyDescent="0.2">
      <c r="AL840" s="31"/>
      <c r="AM840" s="31"/>
      <c r="AN840" s="31"/>
      <c r="AO840" s="31"/>
      <c r="AP840" s="31"/>
      <c r="AQ840" s="31"/>
      <c r="AR840" s="31"/>
      <c r="AS840" s="31"/>
      <c r="AT840" s="31"/>
      <c r="AU840" s="31"/>
      <c r="AV840" s="31"/>
      <c r="AW840" s="31"/>
      <c r="AX840" s="31"/>
      <c r="AY840" s="31"/>
      <c r="AZ840" s="31"/>
      <c r="BA840" s="31"/>
      <c r="BB840" s="31"/>
      <c r="BC840" s="31"/>
      <c r="BD840" s="31"/>
      <c r="BE840" s="31"/>
      <c r="BF840" s="31"/>
      <c r="BG840" s="31"/>
      <c r="BH840" s="31"/>
      <c r="BI840" s="31"/>
    </row>
    <row r="841" spans="38:61" x14ac:dyDescent="0.2">
      <c r="AL841" s="31"/>
      <c r="AM841" s="31"/>
      <c r="AN841" s="31"/>
      <c r="AO841" s="31"/>
      <c r="AP841" s="31"/>
      <c r="AQ841" s="31"/>
      <c r="AR841" s="31"/>
      <c r="AS841" s="31"/>
      <c r="AT841" s="31"/>
      <c r="AU841" s="31"/>
      <c r="AV841" s="31"/>
      <c r="AW841" s="31"/>
      <c r="AX841" s="31"/>
      <c r="AY841" s="31"/>
      <c r="AZ841" s="31"/>
      <c r="BA841" s="31"/>
      <c r="BB841" s="31"/>
      <c r="BC841" s="31"/>
      <c r="BD841" s="31"/>
      <c r="BE841" s="31"/>
      <c r="BF841" s="31"/>
      <c r="BG841" s="31"/>
      <c r="BH841" s="31"/>
      <c r="BI841" s="31"/>
    </row>
    <row r="842" spans="38:61" x14ac:dyDescent="0.2">
      <c r="AL842" s="31"/>
      <c r="AM842" s="31"/>
      <c r="AN842" s="31"/>
      <c r="AO842" s="31"/>
      <c r="AP842" s="31"/>
      <c r="AQ842" s="31"/>
      <c r="AR842" s="31"/>
      <c r="AS842" s="31"/>
      <c r="AT842" s="31"/>
      <c r="AU842" s="31"/>
      <c r="AV842" s="31"/>
      <c r="AW842" s="31"/>
      <c r="AX842" s="31"/>
      <c r="AY842" s="31"/>
      <c r="AZ842" s="31"/>
      <c r="BA842" s="31"/>
      <c r="BB842" s="31"/>
      <c r="BC842" s="31"/>
      <c r="BD842" s="31"/>
      <c r="BE842" s="31"/>
      <c r="BF842" s="31"/>
      <c r="BG842" s="31"/>
      <c r="BH842" s="31"/>
      <c r="BI842" s="31"/>
    </row>
    <row r="843" spans="38:61" x14ac:dyDescent="0.2">
      <c r="AL843" s="31"/>
      <c r="AM843" s="31"/>
      <c r="AN843" s="31"/>
      <c r="AO843" s="31"/>
      <c r="AP843" s="31"/>
      <c r="AQ843" s="31"/>
      <c r="AR843" s="31"/>
      <c r="AS843" s="31"/>
      <c r="AT843" s="31"/>
      <c r="AU843" s="31"/>
      <c r="AV843" s="31"/>
      <c r="AW843" s="31"/>
      <c r="AX843" s="31"/>
      <c r="AY843" s="31"/>
      <c r="AZ843" s="31"/>
      <c r="BA843" s="31"/>
      <c r="BB843" s="31"/>
      <c r="BC843" s="31"/>
      <c r="BD843" s="31"/>
      <c r="BE843" s="31"/>
      <c r="BF843" s="31"/>
      <c r="BG843" s="31"/>
      <c r="BH843" s="31"/>
      <c r="BI843" s="31"/>
    </row>
    <row r="844" spans="38:61" x14ac:dyDescent="0.2">
      <c r="AL844" s="31"/>
      <c r="AM844" s="31"/>
      <c r="AN844" s="31"/>
      <c r="AO844" s="31"/>
      <c r="AP844" s="31"/>
      <c r="AQ844" s="31"/>
      <c r="AR844" s="31"/>
      <c r="AS844" s="31"/>
      <c r="AT844" s="31"/>
      <c r="AU844" s="31"/>
      <c r="AV844" s="31"/>
      <c r="AW844" s="31"/>
      <c r="AX844" s="31"/>
      <c r="AY844" s="31"/>
      <c r="AZ844" s="31"/>
      <c r="BA844" s="31"/>
      <c r="BB844" s="31"/>
      <c r="BC844" s="31"/>
      <c r="BD844" s="31"/>
      <c r="BE844" s="31"/>
      <c r="BF844" s="31"/>
      <c r="BG844" s="31"/>
      <c r="BH844" s="31"/>
      <c r="BI844" s="31"/>
    </row>
    <row r="845" spans="38:61" x14ac:dyDescent="0.2">
      <c r="AL845" s="31"/>
      <c r="AM845" s="31"/>
      <c r="AN845" s="31"/>
      <c r="AO845" s="31"/>
      <c r="AP845" s="31"/>
      <c r="AQ845" s="31"/>
      <c r="AR845" s="31"/>
      <c r="AS845" s="31"/>
      <c r="AT845" s="31"/>
      <c r="AU845" s="31"/>
      <c r="AV845" s="31"/>
      <c r="AW845" s="31"/>
      <c r="AX845" s="31"/>
      <c r="AY845" s="31"/>
      <c r="AZ845" s="31"/>
      <c r="BA845" s="31"/>
      <c r="BB845" s="31"/>
      <c r="BC845" s="31"/>
      <c r="BD845" s="31"/>
      <c r="BE845" s="31"/>
      <c r="BF845" s="31"/>
      <c r="BG845" s="31"/>
      <c r="BH845" s="31"/>
      <c r="BI845" s="31"/>
    </row>
    <row r="846" spans="38:61" x14ac:dyDescent="0.2">
      <c r="AL846" s="31"/>
      <c r="AM846" s="31"/>
      <c r="AN846" s="31"/>
      <c r="AO846" s="31"/>
      <c r="AP846" s="31"/>
      <c r="AQ846" s="31"/>
      <c r="AR846" s="31"/>
      <c r="AS846" s="31"/>
      <c r="AT846" s="31"/>
      <c r="AU846" s="31"/>
      <c r="AV846" s="31"/>
      <c r="AW846" s="31"/>
      <c r="AX846" s="31"/>
      <c r="AY846" s="31"/>
      <c r="AZ846" s="31"/>
      <c r="BA846" s="31"/>
      <c r="BB846" s="31"/>
      <c r="BC846" s="31"/>
      <c r="BD846" s="31"/>
      <c r="BE846" s="31"/>
      <c r="BF846" s="31"/>
      <c r="BG846" s="31"/>
      <c r="BH846" s="31"/>
      <c r="BI846" s="31"/>
    </row>
    <row r="847" spans="38:61" x14ac:dyDescent="0.2">
      <c r="AL847" s="31"/>
      <c r="AM847" s="31"/>
      <c r="AN847" s="31"/>
      <c r="AO847" s="31"/>
      <c r="AP847" s="31"/>
      <c r="AQ847" s="31"/>
      <c r="AR847" s="31"/>
      <c r="AS847" s="31"/>
      <c r="AT847" s="31"/>
      <c r="AU847" s="31"/>
      <c r="AV847" s="31"/>
      <c r="AW847" s="31"/>
      <c r="AX847" s="31"/>
      <c r="AY847" s="31"/>
      <c r="AZ847" s="31"/>
      <c r="BA847" s="31"/>
      <c r="BB847" s="31"/>
      <c r="BC847" s="31"/>
      <c r="BD847" s="31"/>
      <c r="BE847" s="31"/>
      <c r="BF847" s="31"/>
      <c r="BG847" s="31"/>
      <c r="BH847" s="31"/>
      <c r="BI847" s="31"/>
    </row>
    <row r="848" spans="38:61" x14ac:dyDescent="0.2">
      <c r="AL848" s="31"/>
      <c r="AM848" s="31"/>
      <c r="AN848" s="31"/>
      <c r="AO848" s="31"/>
      <c r="AP848" s="31"/>
      <c r="AQ848" s="31"/>
      <c r="AR848" s="31"/>
      <c r="AS848" s="31"/>
      <c r="AT848" s="31"/>
      <c r="AU848" s="31"/>
      <c r="AV848" s="31"/>
      <c r="AW848" s="31"/>
      <c r="AX848" s="31"/>
      <c r="AY848" s="31"/>
      <c r="AZ848" s="31"/>
      <c r="BA848" s="31"/>
      <c r="BB848" s="31"/>
      <c r="BC848" s="31"/>
      <c r="BD848" s="31"/>
      <c r="BE848" s="31"/>
      <c r="BF848" s="31"/>
      <c r="BG848" s="31"/>
      <c r="BH848" s="31"/>
      <c r="BI848" s="31"/>
    </row>
    <row r="849" spans="38:61" x14ac:dyDescent="0.2">
      <c r="AL849" s="31"/>
      <c r="AM849" s="31"/>
      <c r="AN849" s="31"/>
      <c r="AO849" s="31"/>
      <c r="AP849" s="31"/>
      <c r="AQ849" s="31"/>
      <c r="AR849" s="31"/>
      <c r="AS849" s="31"/>
      <c r="AT849" s="31"/>
      <c r="AU849" s="31"/>
      <c r="AV849" s="31"/>
      <c r="AW849" s="31"/>
      <c r="AX849" s="31"/>
      <c r="AY849" s="31"/>
      <c r="AZ849" s="31"/>
      <c r="BA849" s="31"/>
      <c r="BB849" s="31"/>
      <c r="BC849" s="31"/>
      <c r="BD849" s="31"/>
      <c r="BE849" s="31"/>
      <c r="BF849" s="31"/>
      <c r="BG849" s="31"/>
      <c r="BH849" s="31"/>
      <c r="BI849" s="31"/>
    </row>
    <row r="850" spans="38:61" x14ac:dyDescent="0.2">
      <c r="AL850" s="31"/>
      <c r="AM850" s="31"/>
      <c r="AN850" s="31"/>
      <c r="AO850" s="31"/>
      <c r="AP850" s="31"/>
      <c r="AQ850" s="31"/>
      <c r="AR850" s="31"/>
      <c r="AS850" s="31"/>
      <c r="AT850" s="31"/>
      <c r="AU850" s="31"/>
      <c r="AV850" s="31"/>
      <c r="AW850" s="31"/>
      <c r="AX850" s="31"/>
      <c r="AY850" s="31"/>
      <c r="AZ850" s="31"/>
      <c r="BA850" s="31"/>
      <c r="BB850" s="31"/>
      <c r="BC850" s="31"/>
      <c r="BD850" s="31"/>
      <c r="BE850" s="31"/>
      <c r="BF850" s="31"/>
      <c r="BG850" s="31"/>
      <c r="BH850" s="31"/>
      <c r="BI850" s="31"/>
    </row>
    <row r="851" spans="38:61" x14ac:dyDescent="0.2">
      <c r="AL851" s="31"/>
      <c r="AM851" s="31"/>
      <c r="AN851" s="31"/>
      <c r="AO851" s="31"/>
      <c r="AP851" s="31"/>
      <c r="AQ851" s="31"/>
      <c r="AR851" s="31"/>
      <c r="AS851" s="31"/>
      <c r="AT851" s="31"/>
      <c r="AU851" s="31"/>
      <c r="AV851" s="31"/>
      <c r="AW851" s="31"/>
      <c r="AX851" s="31"/>
      <c r="AY851" s="31"/>
      <c r="AZ851" s="31"/>
      <c r="BA851" s="31"/>
      <c r="BB851" s="31"/>
      <c r="BC851" s="31"/>
      <c r="BD851" s="31"/>
      <c r="BE851" s="31"/>
      <c r="BF851" s="31"/>
      <c r="BG851" s="31"/>
      <c r="BH851" s="31"/>
      <c r="BI851" s="31"/>
    </row>
    <row r="852" spans="38:61" x14ac:dyDescent="0.2">
      <c r="AL852" s="31"/>
      <c r="AM852" s="31"/>
      <c r="AN852" s="31"/>
      <c r="AO852" s="31"/>
      <c r="AP852" s="31"/>
      <c r="AQ852" s="31"/>
      <c r="AR852" s="31"/>
      <c r="AS852" s="31"/>
      <c r="AT852" s="31"/>
      <c r="AU852" s="31"/>
      <c r="AV852" s="31"/>
      <c r="AW852" s="31"/>
      <c r="AX852" s="31"/>
      <c r="AY852" s="31"/>
      <c r="AZ852" s="31"/>
      <c r="BA852" s="31"/>
      <c r="BB852" s="31"/>
      <c r="BC852" s="31"/>
      <c r="BD852" s="31"/>
      <c r="BE852" s="31"/>
      <c r="BF852" s="31"/>
      <c r="BG852" s="31"/>
      <c r="BH852" s="31"/>
      <c r="BI852" s="31"/>
    </row>
    <row r="853" spans="38:61" x14ac:dyDescent="0.2">
      <c r="AL853" s="31"/>
      <c r="AM853" s="31"/>
      <c r="AN853" s="31"/>
      <c r="AO853" s="31"/>
      <c r="AP853" s="31"/>
      <c r="AQ853" s="31"/>
      <c r="AR853" s="31"/>
      <c r="AS853" s="31"/>
      <c r="AT853" s="31"/>
      <c r="AU853" s="31"/>
      <c r="AV853" s="31"/>
      <c r="AW853" s="31"/>
      <c r="AX853" s="31"/>
      <c r="AY853" s="31"/>
      <c r="AZ853" s="31"/>
      <c r="BA853" s="31"/>
      <c r="BB853" s="31"/>
      <c r="BC853" s="31"/>
      <c r="BD853" s="31"/>
      <c r="BE853" s="31"/>
      <c r="BF853" s="31"/>
      <c r="BG853" s="31"/>
      <c r="BH853" s="31"/>
      <c r="BI853" s="31"/>
    </row>
    <row r="854" spans="38:61" x14ac:dyDescent="0.2">
      <c r="AL854" s="31"/>
      <c r="AM854" s="31"/>
      <c r="AN854" s="31"/>
      <c r="AO854" s="31"/>
      <c r="AP854" s="31"/>
      <c r="AQ854" s="31"/>
      <c r="AR854" s="31"/>
      <c r="AS854" s="31"/>
      <c r="AT854" s="31"/>
      <c r="AU854" s="31"/>
      <c r="AV854" s="31"/>
      <c r="AW854" s="31"/>
      <c r="AX854" s="31"/>
      <c r="AY854" s="31"/>
      <c r="AZ854" s="31"/>
      <c r="BA854" s="31"/>
      <c r="BB854" s="31"/>
      <c r="BC854" s="31"/>
      <c r="BD854" s="31"/>
      <c r="BE854" s="31"/>
      <c r="BF854" s="31"/>
      <c r="BG854" s="31"/>
      <c r="BH854" s="31"/>
      <c r="BI854" s="31"/>
    </row>
    <row r="855" spans="38:61" x14ac:dyDescent="0.2">
      <c r="AL855" s="31"/>
      <c r="AM855" s="31"/>
      <c r="AN855" s="31"/>
      <c r="AO855" s="31"/>
      <c r="AP855" s="31"/>
      <c r="AQ855" s="31"/>
      <c r="AR855" s="31"/>
      <c r="AS855" s="31"/>
      <c r="AT855" s="31"/>
      <c r="AU855" s="31"/>
      <c r="AV855" s="31"/>
      <c r="AW855" s="31"/>
      <c r="AX855" s="31"/>
      <c r="AY855" s="31"/>
      <c r="AZ855" s="31"/>
      <c r="BA855" s="31"/>
      <c r="BB855" s="31"/>
      <c r="BC855" s="31"/>
      <c r="BD855" s="31"/>
      <c r="BE855" s="31"/>
      <c r="BF855" s="31"/>
      <c r="BG855" s="31"/>
      <c r="BH855" s="31"/>
      <c r="BI855" s="31"/>
    </row>
    <row r="856" spans="38:61" x14ac:dyDescent="0.2">
      <c r="AL856" s="31"/>
      <c r="AM856" s="31"/>
      <c r="AN856" s="31"/>
      <c r="AO856" s="31"/>
      <c r="AP856" s="31"/>
      <c r="AQ856" s="31"/>
      <c r="AR856" s="31"/>
      <c r="AS856" s="31"/>
      <c r="AT856" s="31"/>
      <c r="AU856" s="31"/>
      <c r="AV856" s="31"/>
      <c r="AW856" s="31"/>
      <c r="AX856" s="31"/>
      <c r="AY856" s="31"/>
      <c r="AZ856" s="31"/>
      <c r="BA856" s="31"/>
      <c r="BB856" s="31"/>
      <c r="BC856" s="31"/>
      <c r="BD856" s="31"/>
      <c r="BE856" s="31"/>
      <c r="BF856" s="31"/>
      <c r="BG856" s="31"/>
      <c r="BH856" s="31"/>
      <c r="BI856" s="31"/>
    </row>
    <row r="857" spans="38:61" x14ac:dyDescent="0.2">
      <c r="AL857" s="31"/>
      <c r="AM857" s="31"/>
      <c r="AN857" s="31"/>
      <c r="AO857" s="31"/>
      <c r="AP857" s="31"/>
      <c r="AQ857" s="31"/>
      <c r="AR857" s="31"/>
      <c r="AS857" s="31"/>
      <c r="AT857" s="31"/>
      <c r="AU857" s="31"/>
      <c r="AV857" s="31"/>
      <c r="AW857" s="31"/>
      <c r="AX857" s="31"/>
      <c r="AY857" s="31"/>
      <c r="AZ857" s="31"/>
      <c r="BA857" s="31"/>
      <c r="BB857" s="31"/>
      <c r="BC857" s="31"/>
      <c r="BD857" s="31"/>
      <c r="BE857" s="31"/>
      <c r="BF857" s="31"/>
      <c r="BG857" s="31"/>
      <c r="BH857" s="31"/>
      <c r="BI857" s="31"/>
    </row>
    <row r="858" spans="38:61" x14ac:dyDescent="0.2">
      <c r="AL858" s="31"/>
      <c r="AM858" s="31"/>
      <c r="AN858" s="31"/>
      <c r="AO858" s="31"/>
      <c r="AP858" s="31"/>
      <c r="AQ858" s="31"/>
      <c r="AR858" s="31"/>
      <c r="AS858" s="31"/>
      <c r="AT858" s="31"/>
      <c r="AU858" s="31"/>
      <c r="AV858" s="31"/>
      <c r="AW858" s="31"/>
      <c r="AX858" s="31"/>
      <c r="AY858" s="31"/>
      <c r="AZ858" s="31"/>
      <c r="BA858" s="31"/>
      <c r="BB858" s="31"/>
      <c r="BC858" s="31"/>
      <c r="BD858" s="31"/>
      <c r="BE858" s="31"/>
      <c r="BF858" s="31"/>
      <c r="BG858" s="31"/>
      <c r="BH858" s="31"/>
      <c r="BI858" s="31"/>
    </row>
    <row r="859" spans="38:61" x14ac:dyDescent="0.2">
      <c r="AL859" s="31"/>
      <c r="AM859" s="31"/>
      <c r="AN859" s="31"/>
      <c r="AO859" s="31"/>
      <c r="AP859" s="31"/>
      <c r="AQ859" s="31"/>
      <c r="AR859" s="31"/>
      <c r="AS859" s="31"/>
      <c r="AT859" s="31"/>
      <c r="AU859" s="31"/>
      <c r="AV859" s="31"/>
      <c r="AW859" s="31"/>
      <c r="AX859" s="31"/>
      <c r="AY859" s="31"/>
      <c r="AZ859" s="31"/>
      <c r="BA859" s="31"/>
      <c r="BB859" s="31"/>
      <c r="BC859" s="31"/>
      <c r="BD859" s="31"/>
      <c r="BE859" s="31"/>
      <c r="BF859" s="31"/>
      <c r="BG859" s="31"/>
      <c r="BH859" s="31"/>
      <c r="BI859" s="31"/>
    </row>
    <row r="860" spans="38:61" x14ac:dyDescent="0.2">
      <c r="AL860" s="31"/>
      <c r="AM860" s="31"/>
      <c r="AN860" s="31"/>
      <c r="AO860" s="31"/>
      <c r="AP860" s="31"/>
      <c r="AQ860" s="31"/>
      <c r="AR860" s="31"/>
      <c r="AS860" s="31"/>
      <c r="AT860" s="31"/>
      <c r="AU860" s="31"/>
      <c r="AV860" s="31"/>
      <c r="AW860" s="31"/>
      <c r="AX860" s="31"/>
      <c r="AY860" s="31"/>
      <c r="AZ860" s="31"/>
      <c r="BA860" s="31"/>
      <c r="BB860" s="31"/>
      <c r="BC860" s="31"/>
      <c r="BD860" s="31"/>
      <c r="BE860" s="31"/>
      <c r="BF860" s="31"/>
      <c r="BG860" s="31"/>
      <c r="BH860" s="31"/>
      <c r="BI860" s="31"/>
    </row>
    <row r="861" spans="38:61" x14ac:dyDescent="0.2">
      <c r="AL861" s="31"/>
      <c r="AM861" s="31"/>
      <c r="AN861" s="31"/>
      <c r="AO861" s="31"/>
      <c r="AP861" s="31"/>
      <c r="AQ861" s="31"/>
      <c r="AR861" s="31"/>
      <c r="AS861" s="31"/>
      <c r="AT861" s="31"/>
      <c r="AU861" s="31"/>
      <c r="AV861" s="31"/>
      <c r="AW861" s="31"/>
      <c r="AX861" s="31"/>
      <c r="AY861" s="31"/>
      <c r="AZ861" s="31"/>
      <c r="BA861" s="31"/>
      <c r="BB861" s="31"/>
      <c r="BC861" s="31"/>
      <c r="BD861" s="31"/>
      <c r="BE861" s="31"/>
      <c r="BF861" s="31"/>
      <c r="BG861" s="31"/>
      <c r="BH861" s="31"/>
      <c r="BI861" s="31"/>
    </row>
    <row r="862" spans="38:61" x14ac:dyDescent="0.2">
      <c r="AL862" s="31"/>
      <c r="AM862" s="31"/>
      <c r="AN862" s="31"/>
      <c r="AO862" s="31"/>
      <c r="AP862" s="31"/>
      <c r="AQ862" s="31"/>
      <c r="AR862" s="31"/>
      <c r="AS862" s="31"/>
      <c r="AT862" s="31"/>
      <c r="AU862" s="31"/>
      <c r="AV862" s="31"/>
      <c r="AW862" s="31"/>
      <c r="AX862" s="31"/>
      <c r="AY862" s="31"/>
      <c r="AZ862" s="31"/>
      <c r="BA862" s="31"/>
      <c r="BB862" s="31"/>
      <c r="BC862" s="31"/>
      <c r="BD862" s="31"/>
      <c r="BE862" s="31"/>
      <c r="BF862" s="31"/>
      <c r="BG862" s="31"/>
      <c r="BH862" s="31"/>
      <c r="BI862" s="31"/>
    </row>
    <row r="863" spans="38:61" x14ac:dyDescent="0.2">
      <c r="AL863" s="31"/>
      <c r="AM863" s="31"/>
      <c r="AN863" s="31"/>
      <c r="AO863" s="31"/>
      <c r="AP863" s="31"/>
      <c r="AQ863" s="31"/>
      <c r="AR863" s="31"/>
      <c r="AS863" s="31"/>
      <c r="AT863" s="31"/>
      <c r="AU863" s="31"/>
      <c r="AV863" s="31"/>
      <c r="AW863" s="31"/>
      <c r="AX863" s="31"/>
      <c r="AY863" s="31"/>
      <c r="AZ863" s="31"/>
      <c r="BA863" s="31"/>
      <c r="BB863" s="31"/>
      <c r="BC863" s="31"/>
      <c r="BD863" s="31"/>
      <c r="BE863" s="31"/>
      <c r="BF863" s="31"/>
      <c r="BG863" s="31"/>
      <c r="BH863" s="31"/>
      <c r="BI863" s="31"/>
    </row>
    <row r="864" spans="38:61" x14ac:dyDescent="0.2">
      <c r="AL864" s="31"/>
      <c r="AM864" s="31"/>
      <c r="AN864" s="31"/>
      <c r="AO864" s="31"/>
      <c r="AP864" s="31"/>
      <c r="AQ864" s="31"/>
      <c r="AR864" s="31"/>
      <c r="AS864" s="31"/>
      <c r="AT864" s="31"/>
      <c r="AU864" s="31"/>
      <c r="AV864" s="31"/>
      <c r="AW864" s="31"/>
      <c r="AX864" s="31"/>
      <c r="AY864" s="31"/>
      <c r="AZ864" s="31"/>
      <c r="BA864" s="31"/>
      <c r="BB864" s="31"/>
      <c r="BC864" s="31"/>
      <c r="BD864" s="31"/>
      <c r="BE864" s="31"/>
      <c r="BF864" s="31"/>
      <c r="BG864" s="31"/>
      <c r="BH864" s="31"/>
      <c r="BI864" s="31"/>
    </row>
    <row r="865" spans="38:61" x14ac:dyDescent="0.2">
      <c r="AL865" s="31"/>
      <c r="AM865" s="31"/>
      <c r="AN865" s="31"/>
      <c r="AO865" s="31"/>
      <c r="AP865" s="31"/>
      <c r="AQ865" s="31"/>
      <c r="AR865" s="31"/>
      <c r="AS865" s="31"/>
      <c r="AT865" s="31"/>
      <c r="AU865" s="31"/>
      <c r="AV865" s="31"/>
      <c r="AW865" s="31"/>
      <c r="AX865" s="31"/>
      <c r="AY865" s="31"/>
      <c r="AZ865" s="31"/>
      <c r="BA865" s="31"/>
      <c r="BB865" s="31"/>
      <c r="BC865" s="31"/>
      <c r="BD865" s="31"/>
      <c r="BE865" s="31"/>
      <c r="BF865" s="31"/>
      <c r="BG865" s="31"/>
      <c r="BH865" s="31"/>
      <c r="BI865" s="31"/>
    </row>
    <row r="866" spans="38:61" x14ac:dyDescent="0.2">
      <c r="AL866" s="31"/>
      <c r="AM866" s="31"/>
      <c r="AN866" s="31"/>
      <c r="AO866" s="31"/>
      <c r="AP866" s="31"/>
      <c r="AQ866" s="31"/>
      <c r="AR866" s="31"/>
      <c r="AS866" s="31"/>
      <c r="AT866" s="31"/>
      <c r="AU866" s="31"/>
      <c r="AV866" s="31"/>
      <c r="AW866" s="31"/>
      <c r="AX866" s="31"/>
      <c r="AY866" s="31"/>
      <c r="AZ866" s="31"/>
      <c r="BA866" s="31"/>
      <c r="BB866" s="31"/>
      <c r="BC866" s="31"/>
      <c r="BD866" s="31"/>
      <c r="BE866" s="31"/>
      <c r="BF866" s="31"/>
      <c r="BG866" s="31"/>
      <c r="BH866" s="31"/>
      <c r="BI866" s="31"/>
    </row>
    <row r="867" spans="38:61" x14ac:dyDescent="0.2">
      <c r="AL867" s="31"/>
      <c r="AM867" s="31"/>
      <c r="AN867" s="31"/>
      <c r="AO867" s="31"/>
      <c r="AP867" s="31"/>
      <c r="AQ867" s="31"/>
      <c r="AR867" s="31"/>
      <c r="AS867" s="31"/>
      <c r="AT867" s="31"/>
      <c r="AU867" s="31"/>
      <c r="AV867" s="31"/>
      <c r="AW867" s="31"/>
      <c r="AX867" s="31"/>
      <c r="AY867" s="31"/>
      <c r="AZ867" s="31"/>
      <c r="BA867" s="31"/>
      <c r="BB867" s="31"/>
      <c r="BC867" s="31"/>
      <c r="BD867" s="31"/>
      <c r="BE867" s="31"/>
      <c r="BF867" s="31"/>
      <c r="BG867" s="31"/>
      <c r="BH867" s="31"/>
      <c r="BI867" s="31"/>
    </row>
    <row r="868" spans="38:61" x14ac:dyDescent="0.2">
      <c r="AL868" s="31"/>
      <c r="AM868" s="31"/>
      <c r="AN868" s="31"/>
      <c r="AO868" s="31"/>
      <c r="AP868" s="31"/>
      <c r="AQ868" s="31"/>
      <c r="AR868" s="31"/>
      <c r="AS868" s="31"/>
      <c r="AT868" s="31"/>
      <c r="AU868" s="31"/>
      <c r="AV868" s="31"/>
      <c r="AW868" s="31"/>
      <c r="AX868" s="31"/>
      <c r="AY868" s="31"/>
      <c r="AZ868" s="31"/>
      <c r="BA868" s="31"/>
      <c r="BB868" s="31"/>
      <c r="BC868" s="31"/>
      <c r="BD868" s="31"/>
      <c r="BE868" s="31"/>
      <c r="BF868" s="31"/>
      <c r="BG868" s="31"/>
      <c r="BH868" s="31"/>
      <c r="BI868" s="31"/>
    </row>
    <row r="869" spans="38:61" x14ac:dyDescent="0.2">
      <c r="AL869" s="31"/>
      <c r="AM869" s="31"/>
      <c r="AN869" s="31"/>
      <c r="AO869" s="31"/>
      <c r="AP869" s="31"/>
      <c r="AQ869" s="31"/>
      <c r="AR869" s="31"/>
      <c r="AS869" s="31"/>
      <c r="AT869" s="31"/>
      <c r="AU869" s="31"/>
      <c r="AV869" s="31"/>
      <c r="AW869" s="31"/>
      <c r="AX869" s="31"/>
      <c r="AY869" s="31"/>
      <c r="AZ869" s="31"/>
      <c r="BA869" s="31"/>
      <c r="BB869" s="31"/>
      <c r="BC869" s="31"/>
      <c r="BD869" s="31"/>
      <c r="BE869" s="31"/>
      <c r="BF869" s="31"/>
      <c r="BG869" s="31"/>
      <c r="BH869" s="31"/>
      <c r="BI869" s="31"/>
    </row>
    <row r="870" spans="38:61" x14ac:dyDescent="0.2">
      <c r="AL870" s="31"/>
      <c r="AM870" s="31"/>
      <c r="AN870" s="31"/>
      <c r="AO870" s="31"/>
      <c r="AP870" s="31"/>
      <c r="AQ870" s="31"/>
      <c r="AR870" s="31"/>
      <c r="AS870" s="31"/>
      <c r="AT870" s="31"/>
      <c r="AU870" s="31"/>
      <c r="AV870" s="31"/>
      <c r="AW870" s="31"/>
      <c r="AX870" s="31"/>
      <c r="AY870" s="31"/>
      <c r="AZ870" s="31"/>
      <c r="BA870" s="31"/>
      <c r="BB870" s="31"/>
      <c r="BC870" s="31"/>
      <c r="BD870" s="31"/>
      <c r="BE870" s="31"/>
      <c r="BF870" s="31"/>
      <c r="BG870" s="31"/>
      <c r="BH870" s="31"/>
      <c r="BI870" s="31"/>
    </row>
    <row r="871" spans="38:61" x14ac:dyDescent="0.2">
      <c r="AL871" s="31"/>
      <c r="AM871" s="31"/>
      <c r="AN871" s="31"/>
      <c r="AO871" s="31"/>
      <c r="AP871" s="31"/>
      <c r="AQ871" s="31"/>
      <c r="AR871" s="31"/>
      <c r="AS871" s="31"/>
      <c r="AT871" s="31"/>
      <c r="AU871" s="31"/>
      <c r="AV871" s="31"/>
      <c r="AW871" s="31"/>
      <c r="AX871" s="31"/>
      <c r="AY871" s="31"/>
      <c r="AZ871" s="31"/>
      <c r="BA871" s="31"/>
      <c r="BB871" s="31"/>
      <c r="BC871" s="31"/>
      <c r="BD871" s="31"/>
      <c r="BE871" s="31"/>
      <c r="BF871" s="31"/>
      <c r="BG871" s="31"/>
      <c r="BH871" s="31"/>
      <c r="BI871" s="31"/>
    </row>
    <row r="872" spans="38:61" x14ac:dyDescent="0.2">
      <c r="AL872" s="31"/>
      <c r="AM872" s="31"/>
      <c r="AN872" s="31"/>
      <c r="AO872" s="31"/>
      <c r="AP872" s="31"/>
      <c r="AQ872" s="31"/>
      <c r="AR872" s="31"/>
      <c r="AS872" s="31"/>
      <c r="AT872" s="31"/>
      <c r="AU872" s="31"/>
      <c r="AV872" s="31"/>
      <c r="AW872" s="31"/>
      <c r="AX872" s="31"/>
      <c r="AY872" s="31"/>
      <c r="AZ872" s="31"/>
      <c r="BA872" s="31"/>
      <c r="BB872" s="31"/>
      <c r="BC872" s="31"/>
      <c r="BD872" s="31"/>
      <c r="BE872" s="31"/>
      <c r="BF872" s="31"/>
      <c r="BG872" s="31"/>
      <c r="BH872" s="31"/>
      <c r="BI872" s="31"/>
    </row>
    <row r="873" spans="38:61" x14ac:dyDescent="0.2">
      <c r="AL873" s="31"/>
      <c r="AM873" s="31"/>
      <c r="AN873" s="31"/>
      <c r="AO873" s="31"/>
      <c r="AP873" s="31"/>
      <c r="AQ873" s="31"/>
      <c r="AR873" s="31"/>
      <c r="AS873" s="31"/>
      <c r="AT873" s="31"/>
      <c r="AU873" s="31"/>
      <c r="AV873" s="31"/>
      <c r="AW873" s="31"/>
      <c r="AX873" s="31"/>
      <c r="AY873" s="31"/>
      <c r="AZ873" s="31"/>
      <c r="BA873" s="31"/>
      <c r="BB873" s="31"/>
      <c r="BC873" s="31"/>
      <c r="BD873" s="31"/>
      <c r="BE873" s="31"/>
      <c r="BF873" s="31"/>
      <c r="BG873" s="31"/>
      <c r="BH873" s="31"/>
      <c r="BI873" s="31"/>
    </row>
    <row r="874" spans="38:61" x14ac:dyDescent="0.2">
      <c r="AL874" s="31"/>
      <c r="AM874" s="31"/>
      <c r="AN874" s="31"/>
      <c r="AO874" s="31"/>
      <c r="AP874" s="31"/>
      <c r="AQ874" s="31"/>
      <c r="AR874" s="31"/>
      <c r="AS874" s="31"/>
      <c r="AT874" s="31"/>
      <c r="AU874" s="31"/>
      <c r="AV874" s="31"/>
      <c r="AW874" s="31"/>
      <c r="AX874" s="31"/>
      <c r="AY874" s="31"/>
      <c r="AZ874" s="31"/>
      <c r="BA874" s="31"/>
      <c r="BB874" s="31"/>
      <c r="BC874" s="31"/>
      <c r="BD874" s="31"/>
      <c r="BE874" s="31"/>
      <c r="BF874" s="31"/>
      <c r="BG874" s="31"/>
      <c r="BH874" s="31"/>
      <c r="BI874" s="31"/>
    </row>
    <row r="875" spans="38:61" x14ac:dyDescent="0.2">
      <c r="AL875" s="31"/>
      <c r="AM875" s="31"/>
      <c r="AN875" s="31"/>
      <c r="AO875" s="31"/>
      <c r="AP875" s="31"/>
      <c r="AQ875" s="31"/>
      <c r="AR875" s="31"/>
      <c r="AS875" s="31"/>
      <c r="AT875" s="31"/>
      <c r="AU875" s="31"/>
      <c r="AV875" s="31"/>
      <c r="AW875" s="31"/>
      <c r="AX875" s="31"/>
      <c r="AY875" s="31"/>
      <c r="AZ875" s="31"/>
      <c r="BA875" s="31"/>
      <c r="BB875" s="31"/>
      <c r="BC875" s="31"/>
      <c r="BD875" s="31"/>
      <c r="BE875" s="31"/>
      <c r="BF875" s="31"/>
      <c r="BG875" s="31"/>
      <c r="BH875" s="31"/>
      <c r="BI875" s="31"/>
    </row>
    <row r="876" spans="38:61" x14ac:dyDescent="0.2">
      <c r="AL876" s="31"/>
      <c r="AM876" s="31"/>
      <c r="AN876" s="31"/>
      <c r="AO876" s="31"/>
      <c r="AP876" s="31"/>
      <c r="AQ876" s="31"/>
      <c r="AR876" s="31"/>
      <c r="AS876" s="31"/>
      <c r="AT876" s="31"/>
      <c r="AU876" s="31"/>
      <c r="AV876" s="31"/>
      <c r="AW876" s="31"/>
      <c r="AX876" s="31"/>
      <c r="AY876" s="31"/>
      <c r="AZ876" s="31"/>
      <c r="BA876" s="31"/>
      <c r="BB876" s="31"/>
      <c r="BC876" s="31"/>
      <c r="BD876" s="31"/>
      <c r="BE876" s="31"/>
      <c r="BF876" s="31"/>
      <c r="BG876" s="31"/>
      <c r="BH876" s="31"/>
      <c r="BI876" s="31"/>
    </row>
    <row r="877" spans="38:61" x14ac:dyDescent="0.2">
      <c r="AL877" s="31"/>
      <c r="AM877" s="31"/>
      <c r="AN877" s="31"/>
      <c r="AO877" s="31"/>
      <c r="AP877" s="31"/>
      <c r="AQ877" s="31"/>
      <c r="AR877" s="31"/>
      <c r="AS877" s="31"/>
      <c r="AT877" s="31"/>
      <c r="AU877" s="31"/>
      <c r="AV877" s="31"/>
      <c r="AW877" s="31"/>
      <c r="AX877" s="31"/>
      <c r="AY877" s="31"/>
      <c r="AZ877" s="31"/>
      <c r="BA877" s="31"/>
      <c r="BB877" s="31"/>
      <c r="BC877" s="31"/>
      <c r="BD877" s="31"/>
      <c r="BE877" s="31"/>
      <c r="BF877" s="31"/>
      <c r="BG877" s="31"/>
      <c r="BH877" s="31"/>
      <c r="BI877" s="31"/>
    </row>
    <row r="878" spans="38:61" x14ac:dyDescent="0.2">
      <c r="AL878" s="31"/>
      <c r="AM878" s="31"/>
      <c r="AN878" s="31"/>
      <c r="AO878" s="31"/>
      <c r="AP878" s="31"/>
      <c r="AQ878" s="31"/>
      <c r="AR878" s="31"/>
      <c r="AS878" s="31"/>
      <c r="AT878" s="31"/>
      <c r="AU878" s="31"/>
      <c r="AV878" s="31"/>
      <c r="AW878" s="31"/>
      <c r="AX878" s="31"/>
      <c r="AY878" s="31"/>
      <c r="AZ878" s="31"/>
      <c r="BA878" s="31"/>
      <c r="BB878" s="31"/>
      <c r="BC878" s="31"/>
      <c r="BD878" s="31"/>
      <c r="BE878" s="31"/>
      <c r="BF878" s="31"/>
      <c r="BG878" s="31"/>
      <c r="BH878" s="31"/>
      <c r="BI878" s="31"/>
    </row>
    <row r="879" spans="38:61" x14ac:dyDescent="0.2">
      <c r="AL879" s="31"/>
      <c r="AM879" s="31"/>
      <c r="AN879" s="31"/>
      <c r="AO879" s="31"/>
      <c r="AP879" s="31"/>
      <c r="AQ879" s="31"/>
      <c r="AR879" s="31"/>
      <c r="AS879" s="31"/>
      <c r="AT879" s="31"/>
      <c r="AU879" s="31"/>
      <c r="AV879" s="31"/>
      <c r="AW879" s="31"/>
      <c r="AX879" s="31"/>
      <c r="AY879" s="31"/>
      <c r="AZ879" s="31"/>
      <c r="BA879" s="31"/>
      <c r="BB879" s="31"/>
      <c r="BC879" s="31"/>
      <c r="BD879" s="31"/>
      <c r="BE879" s="31"/>
      <c r="BF879" s="31"/>
      <c r="BG879" s="31"/>
      <c r="BH879" s="31"/>
      <c r="BI879" s="31"/>
    </row>
    <row r="880" spans="38:61" x14ac:dyDescent="0.2">
      <c r="AL880" s="31"/>
      <c r="AM880" s="31"/>
      <c r="AN880" s="31"/>
      <c r="AO880" s="31"/>
      <c r="AP880" s="31"/>
      <c r="AQ880" s="31"/>
      <c r="AR880" s="31"/>
      <c r="AS880" s="31"/>
      <c r="AT880" s="31"/>
      <c r="AU880" s="31"/>
      <c r="AV880" s="31"/>
      <c r="AW880" s="31"/>
      <c r="AX880" s="31"/>
      <c r="AY880" s="31"/>
      <c r="AZ880" s="31"/>
      <c r="BA880" s="31"/>
      <c r="BB880" s="31"/>
      <c r="BC880" s="31"/>
      <c r="BD880" s="31"/>
      <c r="BE880" s="31"/>
      <c r="BF880" s="31"/>
      <c r="BG880" s="31"/>
      <c r="BH880" s="31"/>
      <c r="BI880" s="31"/>
    </row>
    <row r="881" spans="38:61" x14ac:dyDescent="0.2">
      <c r="AL881" s="31"/>
      <c r="AM881" s="31"/>
      <c r="AN881" s="31"/>
      <c r="AO881" s="31"/>
      <c r="AP881" s="31"/>
      <c r="AQ881" s="31"/>
      <c r="AR881" s="31"/>
      <c r="AS881" s="31"/>
      <c r="AT881" s="31"/>
      <c r="AU881" s="31"/>
      <c r="AV881" s="31"/>
      <c r="AW881" s="31"/>
      <c r="AX881" s="31"/>
      <c r="AY881" s="31"/>
      <c r="AZ881" s="31"/>
      <c r="BA881" s="31"/>
      <c r="BB881" s="31"/>
      <c r="BC881" s="31"/>
      <c r="BD881" s="31"/>
      <c r="BE881" s="31"/>
      <c r="BF881" s="31"/>
      <c r="BG881" s="31"/>
      <c r="BH881" s="31"/>
      <c r="BI881" s="31"/>
    </row>
    <row r="882" spans="38:61" x14ac:dyDescent="0.2">
      <c r="AL882" s="31"/>
      <c r="AM882" s="31"/>
      <c r="AN882" s="31"/>
      <c r="AO882" s="31"/>
      <c r="AP882" s="31"/>
      <c r="AQ882" s="31"/>
      <c r="AR882" s="31"/>
      <c r="AS882" s="31"/>
      <c r="AT882" s="31"/>
      <c r="AU882" s="31"/>
      <c r="AV882" s="31"/>
      <c r="AW882" s="31"/>
      <c r="AX882" s="31"/>
      <c r="AY882" s="31"/>
      <c r="AZ882" s="31"/>
      <c r="BA882" s="31"/>
      <c r="BB882" s="31"/>
      <c r="BC882" s="31"/>
      <c r="BD882" s="31"/>
      <c r="BE882" s="31"/>
      <c r="BF882" s="31"/>
      <c r="BG882" s="31"/>
      <c r="BH882" s="31"/>
      <c r="BI882" s="31"/>
    </row>
    <row r="883" spans="38:61" x14ac:dyDescent="0.2">
      <c r="AL883" s="31"/>
      <c r="AM883" s="31"/>
      <c r="AN883" s="31"/>
      <c r="AO883" s="31"/>
      <c r="AP883" s="31"/>
      <c r="AQ883" s="31"/>
      <c r="AR883" s="31"/>
      <c r="AS883" s="31"/>
      <c r="AT883" s="31"/>
      <c r="AU883" s="31"/>
      <c r="AV883" s="31"/>
      <c r="AW883" s="31"/>
      <c r="AX883" s="31"/>
      <c r="AY883" s="31"/>
      <c r="AZ883" s="31"/>
      <c r="BA883" s="31"/>
      <c r="BB883" s="31"/>
      <c r="BC883" s="31"/>
      <c r="BD883" s="31"/>
      <c r="BE883" s="31"/>
      <c r="BF883" s="31"/>
      <c r="BG883" s="31"/>
      <c r="BH883" s="31"/>
      <c r="BI883" s="31"/>
    </row>
    <row r="884" spans="38:61" x14ac:dyDescent="0.2">
      <c r="AL884" s="31"/>
      <c r="AM884" s="31"/>
      <c r="AN884" s="31"/>
      <c r="AO884" s="31"/>
      <c r="AP884" s="31"/>
      <c r="AQ884" s="31"/>
      <c r="AR884" s="31"/>
      <c r="AS884" s="31"/>
      <c r="AT884" s="31"/>
      <c r="AU884" s="31"/>
      <c r="AV884" s="31"/>
      <c r="AW884" s="31"/>
      <c r="AX884" s="31"/>
      <c r="AY884" s="31"/>
      <c r="AZ884" s="31"/>
      <c r="BA884" s="31"/>
      <c r="BB884" s="31"/>
      <c r="BC884" s="31"/>
      <c r="BD884" s="31"/>
      <c r="BE884" s="31"/>
      <c r="BF884" s="31"/>
      <c r="BG884" s="31"/>
      <c r="BH884" s="31"/>
      <c r="BI884" s="31"/>
    </row>
    <row r="885" spans="38:61" x14ac:dyDescent="0.2">
      <c r="AL885" s="31"/>
      <c r="AM885" s="31"/>
      <c r="AN885" s="31"/>
      <c r="AO885" s="31"/>
      <c r="AP885" s="31"/>
      <c r="AQ885" s="31"/>
      <c r="AR885" s="31"/>
      <c r="AS885" s="31"/>
      <c r="AT885" s="31"/>
      <c r="AU885" s="31"/>
      <c r="AV885" s="31"/>
      <c r="AW885" s="31"/>
      <c r="AX885" s="31"/>
      <c r="AY885" s="31"/>
      <c r="AZ885" s="31"/>
      <c r="BA885" s="31"/>
      <c r="BB885" s="31"/>
      <c r="BC885" s="31"/>
      <c r="BD885" s="31"/>
      <c r="BE885" s="31"/>
      <c r="BF885" s="31"/>
      <c r="BG885" s="31"/>
      <c r="BH885" s="31"/>
      <c r="BI885" s="31"/>
    </row>
    <row r="886" spans="38:61" x14ac:dyDescent="0.2">
      <c r="AL886" s="31"/>
      <c r="AM886" s="31"/>
      <c r="AN886" s="31"/>
      <c r="AO886" s="31"/>
      <c r="AP886" s="31"/>
      <c r="AQ886" s="31"/>
      <c r="AR886" s="31"/>
      <c r="AS886" s="31"/>
      <c r="AT886" s="31"/>
      <c r="AU886" s="31"/>
      <c r="AV886" s="31"/>
      <c r="AW886" s="31"/>
      <c r="AX886" s="31"/>
      <c r="AY886" s="31"/>
      <c r="AZ886" s="31"/>
      <c r="BA886" s="31"/>
      <c r="BB886" s="31"/>
      <c r="BC886" s="31"/>
      <c r="BD886" s="31"/>
      <c r="BE886" s="31"/>
      <c r="BF886" s="31"/>
      <c r="BG886" s="31"/>
      <c r="BH886" s="31"/>
      <c r="BI886" s="31"/>
    </row>
    <row r="887" spans="38:61" x14ac:dyDescent="0.2">
      <c r="AL887" s="31"/>
      <c r="AM887" s="31"/>
      <c r="AN887" s="31"/>
      <c r="AO887" s="31"/>
      <c r="AP887" s="31"/>
      <c r="AQ887" s="31"/>
      <c r="AR887" s="31"/>
      <c r="AS887" s="31"/>
      <c r="AT887" s="31"/>
      <c r="AU887" s="31"/>
      <c r="AV887" s="31"/>
      <c r="AW887" s="31"/>
      <c r="AX887" s="31"/>
      <c r="AY887" s="31"/>
      <c r="AZ887" s="31"/>
      <c r="BA887" s="31"/>
      <c r="BB887" s="31"/>
      <c r="BC887" s="31"/>
      <c r="BD887" s="31"/>
      <c r="BE887" s="31"/>
      <c r="BF887" s="31"/>
      <c r="BG887" s="31"/>
      <c r="BH887" s="31"/>
      <c r="BI887" s="31"/>
    </row>
    <row r="888" spans="38:61" x14ac:dyDescent="0.2">
      <c r="AL888" s="31"/>
      <c r="AM888" s="31"/>
      <c r="AN888" s="31"/>
      <c r="AO888" s="31"/>
      <c r="AP888" s="31"/>
      <c r="AQ888" s="31"/>
      <c r="AR888" s="31"/>
      <c r="AS888" s="31"/>
      <c r="AT888" s="31"/>
      <c r="AU888" s="31"/>
      <c r="AV888" s="31"/>
      <c r="AW888" s="31"/>
      <c r="AX888" s="31"/>
      <c r="AY888" s="31"/>
      <c r="AZ888" s="31"/>
      <c r="BA888" s="31"/>
      <c r="BB888" s="31"/>
      <c r="BC888" s="31"/>
      <c r="BD888" s="31"/>
      <c r="BE888" s="31"/>
      <c r="BF888" s="31"/>
      <c r="BG888" s="31"/>
      <c r="BH888" s="31"/>
      <c r="BI888" s="31"/>
    </row>
    <row r="889" spans="38:61" x14ac:dyDescent="0.2">
      <c r="AL889" s="31"/>
      <c r="AM889" s="31"/>
      <c r="AN889" s="31"/>
      <c r="AO889" s="31"/>
      <c r="AP889" s="31"/>
      <c r="AQ889" s="31"/>
      <c r="AR889" s="31"/>
      <c r="AS889" s="31"/>
      <c r="AT889" s="31"/>
      <c r="AU889" s="31"/>
      <c r="AV889" s="31"/>
      <c r="AW889" s="31"/>
      <c r="AX889" s="31"/>
      <c r="AY889" s="31"/>
      <c r="AZ889" s="31"/>
      <c r="BA889" s="31"/>
      <c r="BB889" s="31"/>
      <c r="BC889" s="31"/>
      <c r="BD889" s="31"/>
      <c r="BE889" s="31"/>
      <c r="BF889" s="31"/>
      <c r="BG889" s="31"/>
      <c r="BH889" s="31"/>
      <c r="BI889" s="31"/>
    </row>
    <row r="890" spans="38:61" x14ac:dyDescent="0.2">
      <c r="AL890" s="31"/>
      <c r="AM890" s="31"/>
      <c r="AN890" s="31"/>
      <c r="AO890" s="31"/>
      <c r="AP890" s="31"/>
      <c r="AQ890" s="31"/>
      <c r="AR890" s="31"/>
      <c r="AS890" s="31"/>
      <c r="AT890" s="31"/>
      <c r="AU890" s="31"/>
      <c r="AV890" s="31"/>
      <c r="AW890" s="31"/>
      <c r="AX890" s="31"/>
      <c r="AY890" s="31"/>
      <c r="AZ890" s="31"/>
      <c r="BA890" s="31"/>
      <c r="BB890" s="31"/>
      <c r="BC890" s="31"/>
      <c r="BD890" s="31"/>
      <c r="BE890" s="31"/>
      <c r="BF890" s="31"/>
      <c r="BG890" s="31"/>
      <c r="BH890" s="31"/>
      <c r="BI890" s="31"/>
    </row>
    <row r="891" spans="38:61" x14ac:dyDescent="0.2">
      <c r="AL891" s="31"/>
      <c r="AM891" s="31"/>
      <c r="AN891" s="31"/>
      <c r="AO891" s="31"/>
      <c r="AP891" s="31"/>
      <c r="AQ891" s="31"/>
      <c r="AR891" s="31"/>
      <c r="AS891" s="31"/>
      <c r="AT891" s="31"/>
      <c r="AU891" s="31"/>
      <c r="AV891" s="31"/>
      <c r="AW891" s="31"/>
      <c r="AX891" s="31"/>
      <c r="AY891" s="31"/>
      <c r="AZ891" s="31"/>
      <c r="BA891" s="31"/>
      <c r="BB891" s="31"/>
      <c r="BC891" s="31"/>
      <c r="BD891" s="31"/>
      <c r="BE891" s="31"/>
      <c r="BF891" s="31"/>
      <c r="BG891" s="31"/>
      <c r="BH891" s="31"/>
      <c r="BI891" s="31"/>
    </row>
    <row r="892" spans="38:61" x14ac:dyDescent="0.2">
      <c r="AL892" s="31"/>
      <c r="AM892" s="31"/>
      <c r="AN892" s="31"/>
      <c r="AO892" s="31"/>
      <c r="AP892" s="31"/>
      <c r="AQ892" s="31"/>
      <c r="AR892" s="31"/>
      <c r="AS892" s="31"/>
      <c r="AT892" s="31"/>
      <c r="AU892" s="31"/>
      <c r="AV892" s="31"/>
      <c r="AW892" s="31"/>
      <c r="AX892" s="31"/>
      <c r="AY892" s="31"/>
      <c r="AZ892" s="31"/>
      <c r="BA892" s="31"/>
      <c r="BB892" s="31"/>
      <c r="BC892" s="31"/>
      <c r="BD892" s="31"/>
      <c r="BE892" s="31"/>
      <c r="BF892" s="31"/>
      <c r="BG892" s="31"/>
      <c r="BH892" s="31"/>
      <c r="BI892" s="31"/>
    </row>
    <row r="893" spans="38:61" x14ac:dyDescent="0.2">
      <c r="AL893" s="31"/>
      <c r="AM893" s="31"/>
      <c r="AN893" s="31"/>
      <c r="AO893" s="31"/>
      <c r="AP893" s="31"/>
      <c r="AQ893" s="31"/>
      <c r="AR893" s="31"/>
      <c r="AS893" s="31"/>
      <c r="AT893" s="31"/>
      <c r="AU893" s="31"/>
      <c r="AV893" s="31"/>
      <c r="AW893" s="31"/>
      <c r="AX893" s="31"/>
      <c r="AY893" s="31"/>
      <c r="AZ893" s="31"/>
      <c r="BA893" s="31"/>
      <c r="BB893" s="31"/>
      <c r="BC893" s="31"/>
      <c r="BD893" s="31"/>
      <c r="BE893" s="31"/>
      <c r="BF893" s="31"/>
      <c r="BG893" s="31"/>
      <c r="BH893" s="31"/>
      <c r="BI893" s="31"/>
    </row>
    <row r="894" spans="38:61" x14ac:dyDescent="0.2">
      <c r="AL894" s="31"/>
      <c r="AM894" s="31"/>
      <c r="AN894" s="31"/>
      <c r="AO894" s="31"/>
      <c r="AP894" s="31"/>
      <c r="AQ894" s="31"/>
      <c r="AR894" s="31"/>
      <c r="AS894" s="31"/>
      <c r="AT894" s="31"/>
      <c r="AU894" s="31"/>
      <c r="AV894" s="31"/>
      <c r="AW894" s="31"/>
      <c r="AX894" s="31"/>
      <c r="AY894" s="31"/>
      <c r="AZ894" s="31"/>
      <c r="BA894" s="31"/>
      <c r="BB894" s="31"/>
      <c r="BC894" s="31"/>
      <c r="BD894" s="31"/>
      <c r="BE894" s="31"/>
      <c r="BF894" s="31"/>
      <c r="BG894" s="31"/>
      <c r="BH894" s="31"/>
      <c r="BI894" s="31"/>
    </row>
    <row r="895" spans="38:61" x14ac:dyDescent="0.2">
      <c r="AL895" s="31"/>
      <c r="AM895" s="31"/>
      <c r="AN895" s="31"/>
      <c r="AO895" s="31"/>
      <c r="AP895" s="31"/>
      <c r="AQ895" s="31"/>
      <c r="AR895" s="31"/>
      <c r="AS895" s="31"/>
      <c r="AT895" s="31"/>
      <c r="AU895" s="31"/>
      <c r="AV895" s="31"/>
      <c r="AW895" s="31"/>
      <c r="AX895" s="31"/>
      <c r="AY895" s="31"/>
      <c r="AZ895" s="31"/>
      <c r="BA895" s="31"/>
      <c r="BB895" s="31"/>
      <c r="BC895" s="31"/>
      <c r="BD895" s="31"/>
      <c r="BE895" s="31"/>
      <c r="BF895" s="31"/>
      <c r="BG895" s="31"/>
      <c r="BH895" s="31"/>
      <c r="BI895" s="31"/>
    </row>
    <row r="896" spans="38:61" x14ac:dyDescent="0.2">
      <c r="AL896" s="31"/>
      <c r="AM896" s="31"/>
      <c r="AN896" s="31"/>
      <c r="AO896" s="31"/>
      <c r="AP896" s="31"/>
      <c r="AQ896" s="31"/>
      <c r="AR896" s="31"/>
      <c r="AS896" s="31"/>
      <c r="AT896" s="31"/>
      <c r="AU896" s="31"/>
      <c r="AV896" s="31"/>
      <c r="AW896" s="31"/>
      <c r="AX896" s="31"/>
      <c r="AY896" s="31"/>
      <c r="AZ896" s="31"/>
      <c r="BA896" s="31"/>
      <c r="BB896" s="31"/>
      <c r="BC896" s="31"/>
      <c r="BD896" s="31"/>
      <c r="BE896" s="31"/>
      <c r="BF896" s="31"/>
      <c r="BG896" s="31"/>
      <c r="BH896" s="31"/>
      <c r="BI896" s="31"/>
    </row>
    <row r="897" spans="38:61" x14ac:dyDescent="0.2">
      <c r="AL897" s="31"/>
      <c r="AM897" s="31"/>
      <c r="AN897" s="31"/>
      <c r="AO897" s="31"/>
      <c r="AP897" s="31"/>
      <c r="AQ897" s="31"/>
      <c r="AR897" s="31"/>
      <c r="AS897" s="31"/>
      <c r="AT897" s="31"/>
      <c r="AU897" s="31"/>
      <c r="AV897" s="31"/>
      <c r="AW897" s="31"/>
      <c r="AX897" s="31"/>
      <c r="AY897" s="31"/>
      <c r="AZ897" s="31"/>
      <c r="BA897" s="31"/>
      <c r="BB897" s="31"/>
      <c r="BC897" s="31"/>
      <c r="BD897" s="31"/>
      <c r="BE897" s="31"/>
      <c r="BF897" s="31"/>
      <c r="BG897" s="31"/>
      <c r="BH897" s="31"/>
      <c r="BI897" s="31"/>
    </row>
    <row r="898" spans="38:61" x14ac:dyDescent="0.2">
      <c r="AL898" s="31"/>
      <c r="AM898" s="31"/>
      <c r="AN898" s="31"/>
      <c r="AO898" s="31"/>
      <c r="AP898" s="31"/>
      <c r="AQ898" s="31"/>
      <c r="AR898" s="31"/>
      <c r="AS898" s="31"/>
      <c r="AT898" s="31"/>
      <c r="AU898" s="31"/>
      <c r="AV898" s="31"/>
      <c r="AW898" s="31"/>
      <c r="AX898" s="31"/>
      <c r="AY898" s="31"/>
      <c r="AZ898" s="31"/>
      <c r="BA898" s="31"/>
      <c r="BB898" s="31"/>
      <c r="BC898" s="31"/>
      <c r="BD898" s="31"/>
      <c r="BE898" s="31"/>
      <c r="BF898" s="31"/>
      <c r="BG898" s="31"/>
      <c r="BH898" s="31"/>
      <c r="BI898" s="31"/>
    </row>
    <row r="899" spans="38:61" x14ac:dyDescent="0.2">
      <c r="AL899" s="31"/>
      <c r="AM899" s="31"/>
      <c r="AN899" s="31"/>
      <c r="AO899" s="31"/>
      <c r="AP899" s="31"/>
      <c r="AQ899" s="31"/>
      <c r="AR899" s="31"/>
      <c r="AS899" s="31"/>
      <c r="AT899" s="31"/>
      <c r="AU899" s="31"/>
      <c r="AV899" s="31"/>
      <c r="AW899" s="31"/>
      <c r="AX899" s="31"/>
      <c r="AY899" s="31"/>
      <c r="AZ899" s="31"/>
      <c r="BA899" s="31"/>
      <c r="BB899" s="31"/>
      <c r="BC899" s="31"/>
      <c r="BD899" s="31"/>
      <c r="BE899" s="31"/>
      <c r="BF899" s="31"/>
      <c r="BG899" s="31"/>
      <c r="BH899" s="31"/>
      <c r="BI899" s="31"/>
    </row>
    <row r="900" spans="38:61" x14ac:dyDescent="0.2">
      <c r="AL900" s="31"/>
      <c r="AM900" s="31"/>
      <c r="AN900" s="31"/>
      <c r="AO900" s="31"/>
      <c r="AP900" s="31"/>
      <c r="AQ900" s="31"/>
      <c r="AR900" s="31"/>
      <c r="AS900" s="31"/>
      <c r="AT900" s="31"/>
      <c r="AU900" s="31"/>
      <c r="AV900" s="31"/>
      <c r="AW900" s="31"/>
      <c r="AX900" s="31"/>
      <c r="AY900" s="31"/>
      <c r="AZ900" s="31"/>
      <c r="BA900" s="31"/>
      <c r="BB900" s="31"/>
      <c r="BC900" s="31"/>
      <c r="BD900" s="31"/>
      <c r="BE900" s="31"/>
      <c r="BF900" s="31"/>
      <c r="BG900" s="31"/>
      <c r="BH900" s="31"/>
      <c r="BI900" s="31"/>
    </row>
    <row r="901" spans="38:61" x14ac:dyDescent="0.2">
      <c r="AL901" s="31"/>
      <c r="AM901" s="31"/>
      <c r="AN901" s="31"/>
      <c r="AO901" s="31"/>
      <c r="AP901" s="31"/>
      <c r="AQ901" s="31"/>
      <c r="AR901" s="31"/>
      <c r="AS901" s="31"/>
      <c r="AT901" s="31"/>
      <c r="AU901" s="31"/>
      <c r="AV901" s="31"/>
      <c r="AW901" s="31"/>
      <c r="AX901" s="31"/>
      <c r="AY901" s="31"/>
      <c r="AZ901" s="31"/>
      <c r="BA901" s="31"/>
      <c r="BB901" s="31"/>
      <c r="BC901" s="31"/>
      <c r="BD901" s="31"/>
      <c r="BE901" s="31"/>
      <c r="BF901" s="31"/>
      <c r="BG901" s="31"/>
      <c r="BH901" s="31"/>
      <c r="BI901" s="31"/>
    </row>
    <row r="902" spans="38:61" x14ac:dyDescent="0.2">
      <c r="AL902" s="31"/>
      <c r="AM902" s="31"/>
      <c r="AN902" s="31"/>
      <c r="AO902" s="31"/>
      <c r="AP902" s="31"/>
      <c r="AQ902" s="31"/>
      <c r="AR902" s="31"/>
      <c r="AS902" s="31"/>
      <c r="AT902" s="31"/>
      <c r="AU902" s="31"/>
      <c r="AV902" s="31"/>
      <c r="AW902" s="31"/>
      <c r="AX902" s="31"/>
      <c r="AY902" s="31"/>
      <c r="AZ902" s="31"/>
      <c r="BA902" s="31"/>
      <c r="BB902" s="31"/>
      <c r="BC902" s="31"/>
      <c r="BD902" s="31"/>
      <c r="BE902" s="31"/>
      <c r="BF902" s="31"/>
      <c r="BG902" s="31"/>
      <c r="BH902" s="31"/>
      <c r="BI902" s="31"/>
    </row>
    <row r="903" spans="38:61" x14ac:dyDescent="0.2">
      <c r="AL903" s="31"/>
      <c r="AM903" s="31"/>
      <c r="AN903" s="31"/>
      <c r="AO903" s="31"/>
      <c r="AP903" s="31"/>
      <c r="AQ903" s="31"/>
      <c r="AR903" s="31"/>
      <c r="AS903" s="31"/>
      <c r="AT903" s="31"/>
      <c r="AU903" s="31"/>
      <c r="AV903" s="31"/>
      <c r="AW903" s="31"/>
      <c r="AX903" s="31"/>
      <c r="AY903" s="31"/>
      <c r="AZ903" s="31"/>
      <c r="BA903" s="31"/>
      <c r="BB903" s="31"/>
      <c r="BC903" s="31"/>
      <c r="BD903" s="31"/>
      <c r="BE903" s="31"/>
      <c r="BF903" s="31"/>
      <c r="BG903" s="31"/>
      <c r="BH903" s="31"/>
      <c r="BI903" s="31"/>
    </row>
    <row r="904" spans="38:61" x14ac:dyDescent="0.2">
      <c r="AL904" s="31"/>
      <c r="AM904" s="31"/>
      <c r="AN904" s="31"/>
      <c r="AO904" s="31"/>
      <c r="AP904" s="31"/>
      <c r="AQ904" s="31"/>
      <c r="AR904" s="31"/>
      <c r="AS904" s="31"/>
      <c r="AT904" s="31"/>
      <c r="AU904" s="31"/>
      <c r="AV904" s="31"/>
      <c r="AW904" s="31"/>
      <c r="AX904" s="31"/>
      <c r="AY904" s="31"/>
      <c r="AZ904" s="31"/>
      <c r="BA904" s="31"/>
      <c r="BB904" s="31"/>
      <c r="BC904" s="31"/>
      <c r="BD904" s="31"/>
      <c r="BE904" s="31"/>
      <c r="BF904" s="31"/>
      <c r="BG904" s="31"/>
      <c r="BH904" s="31"/>
      <c r="BI904" s="31"/>
    </row>
    <row r="905" spans="38:61" x14ac:dyDescent="0.2">
      <c r="AL905" s="31"/>
      <c r="AM905" s="31"/>
      <c r="AN905" s="31"/>
      <c r="AO905" s="31"/>
      <c r="AP905" s="31"/>
      <c r="AQ905" s="31"/>
      <c r="AR905" s="31"/>
      <c r="AS905" s="31"/>
      <c r="AT905" s="31"/>
      <c r="AU905" s="31"/>
      <c r="AV905" s="31"/>
      <c r="AW905" s="31"/>
      <c r="AX905" s="31"/>
      <c r="AY905" s="31"/>
      <c r="AZ905" s="31"/>
      <c r="BA905" s="31"/>
      <c r="BB905" s="31"/>
      <c r="BC905" s="31"/>
      <c r="BD905" s="31"/>
      <c r="BE905" s="31"/>
      <c r="BF905" s="31"/>
      <c r="BG905" s="31"/>
      <c r="BH905" s="31"/>
      <c r="BI905" s="31"/>
    </row>
    <row r="906" spans="38:61" x14ac:dyDescent="0.2">
      <c r="AL906" s="31"/>
      <c r="AM906" s="31"/>
      <c r="AN906" s="31"/>
      <c r="AO906" s="31"/>
      <c r="AP906" s="31"/>
      <c r="AQ906" s="31"/>
      <c r="AR906" s="31"/>
      <c r="AS906" s="31"/>
      <c r="AT906" s="31"/>
      <c r="AU906" s="31"/>
      <c r="AV906" s="31"/>
      <c r="AW906" s="31"/>
      <c r="AX906" s="31"/>
      <c r="AY906" s="31"/>
      <c r="AZ906" s="31"/>
      <c r="BA906" s="31"/>
      <c r="BB906" s="31"/>
      <c r="BC906" s="31"/>
      <c r="BD906" s="31"/>
      <c r="BE906" s="31"/>
      <c r="BF906" s="31"/>
      <c r="BG906" s="31"/>
      <c r="BH906" s="31"/>
      <c r="BI906" s="31"/>
    </row>
    <row r="907" spans="38:61" x14ac:dyDescent="0.2">
      <c r="AL907" s="31"/>
      <c r="AM907" s="31"/>
      <c r="AN907" s="31"/>
      <c r="AO907" s="31"/>
      <c r="AP907" s="31"/>
      <c r="AQ907" s="31"/>
      <c r="AR907" s="31"/>
      <c r="AS907" s="31"/>
      <c r="AT907" s="31"/>
      <c r="AU907" s="31"/>
      <c r="AV907" s="31"/>
      <c r="AW907" s="31"/>
      <c r="AX907" s="31"/>
      <c r="AY907" s="31"/>
      <c r="AZ907" s="31"/>
      <c r="BA907" s="31"/>
      <c r="BB907" s="31"/>
      <c r="BC907" s="31"/>
      <c r="BD907" s="31"/>
      <c r="BE907" s="31"/>
      <c r="BF907" s="31"/>
      <c r="BG907" s="31"/>
      <c r="BH907" s="31"/>
      <c r="BI907" s="31"/>
    </row>
    <row r="908" spans="38:61" x14ac:dyDescent="0.2">
      <c r="AL908" s="31"/>
      <c r="AM908" s="31"/>
      <c r="AN908" s="31"/>
      <c r="AO908" s="31"/>
      <c r="AP908" s="31"/>
      <c r="AQ908" s="31"/>
      <c r="AR908" s="31"/>
      <c r="AS908" s="31"/>
      <c r="AT908" s="31"/>
      <c r="AU908" s="31"/>
      <c r="AV908" s="31"/>
      <c r="AW908" s="31"/>
      <c r="AX908" s="31"/>
      <c r="AY908" s="31"/>
      <c r="AZ908" s="31"/>
      <c r="BA908" s="31"/>
      <c r="BB908" s="31"/>
      <c r="BC908" s="31"/>
      <c r="BD908" s="31"/>
      <c r="BE908" s="31"/>
      <c r="BF908" s="31"/>
      <c r="BG908" s="31"/>
      <c r="BH908" s="31"/>
      <c r="BI908" s="31"/>
    </row>
    <row r="909" spans="38:61" x14ac:dyDescent="0.2">
      <c r="AL909" s="31"/>
      <c r="AM909" s="31"/>
      <c r="AN909" s="31"/>
      <c r="AO909" s="31"/>
      <c r="AP909" s="31"/>
      <c r="AQ909" s="31"/>
      <c r="AR909" s="31"/>
      <c r="AS909" s="31"/>
      <c r="AT909" s="31"/>
      <c r="AU909" s="31"/>
      <c r="AV909" s="31"/>
      <c r="AW909" s="31"/>
      <c r="AX909" s="31"/>
      <c r="AY909" s="31"/>
      <c r="AZ909" s="31"/>
      <c r="BA909" s="31"/>
      <c r="BB909" s="31"/>
      <c r="BC909" s="31"/>
      <c r="BD909" s="31"/>
      <c r="BE909" s="31"/>
      <c r="BF909" s="31"/>
      <c r="BG909" s="31"/>
      <c r="BH909" s="31"/>
      <c r="BI909" s="31"/>
    </row>
    <row r="910" spans="38:61" x14ac:dyDescent="0.2">
      <c r="AL910" s="31"/>
      <c r="AM910" s="31"/>
      <c r="AN910" s="31"/>
      <c r="AO910" s="31"/>
      <c r="AP910" s="31"/>
      <c r="AQ910" s="31"/>
      <c r="AR910" s="31"/>
      <c r="AS910" s="31"/>
      <c r="AT910" s="31"/>
      <c r="AU910" s="31"/>
      <c r="AV910" s="31"/>
      <c r="AW910" s="31"/>
      <c r="AX910" s="31"/>
      <c r="AY910" s="31"/>
      <c r="AZ910" s="31"/>
      <c r="BA910" s="31"/>
      <c r="BB910" s="31"/>
      <c r="BC910" s="31"/>
      <c r="BD910" s="31"/>
      <c r="BE910" s="31"/>
      <c r="BF910" s="31"/>
      <c r="BG910" s="31"/>
      <c r="BH910" s="31"/>
      <c r="BI910" s="31"/>
    </row>
    <row r="911" spans="38:61" x14ac:dyDescent="0.2">
      <c r="AL911" s="31"/>
      <c r="AM911" s="31"/>
      <c r="AN911" s="31"/>
      <c r="AO911" s="31"/>
      <c r="AP911" s="31"/>
      <c r="AQ911" s="31"/>
      <c r="AR911" s="31"/>
      <c r="AS911" s="31"/>
      <c r="AT911" s="31"/>
      <c r="AU911" s="31"/>
      <c r="AV911" s="31"/>
      <c r="AW911" s="31"/>
      <c r="AX911" s="31"/>
      <c r="AY911" s="31"/>
      <c r="AZ911" s="31"/>
      <c r="BA911" s="31"/>
      <c r="BB911" s="31"/>
      <c r="BC911" s="31"/>
      <c r="BD911" s="31"/>
      <c r="BE911" s="31"/>
      <c r="BF911" s="31"/>
      <c r="BG911" s="31"/>
      <c r="BH911" s="31"/>
      <c r="BI911" s="31"/>
    </row>
    <row r="912" spans="38:61" x14ac:dyDescent="0.2">
      <c r="AL912" s="31"/>
      <c r="AM912" s="31"/>
      <c r="AN912" s="31"/>
      <c r="AO912" s="31"/>
      <c r="AP912" s="31"/>
      <c r="AQ912" s="31"/>
      <c r="AR912" s="31"/>
      <c r="AS912" s="31"/>
      <c r="AT912" s="31"/>
      <c r="AU912" s="31"/>
      <c r="AV912" s="31"/>
      <c r="AW912" s="31"/>
      <c r="AX912" s="31"/>
      <c r="AY912" s="31"/>
      <c r="AZ912" s="31"/>
      <c r="BA912" s="31"/>
      <c r="BB912" s="31"/>
      <c r="BC912" s="31"/>
      <c r="BD912" s="31"/>
      <c r="BE912" s="31"/>
      <c r="BF912" s="31"/>
      <c r="BG912" s="31"/>
      <c r="BH912" s="31"/>
      <c r="BI912" s="31"/>
    </row>
    <row r="913" spans="38:61" x14ac:dyDescent="0.2">
      <c r="AL913" s="31"/>
      <c r="AM913" s="31"/>
      <c r="AN913" s="31"/>
      <c r="AO913" s="31"/>
      <c r="AP913" s="31"/>
      <c r="AQ913" s="31"/>
      <c r="AR913" s="31"/>
      <c r="AS913" s="31"/>
      <c r="AT913" s="31"/>
      <c r="AU913" s="31"/>
      <c r="AV913" s="31"/>
      <c r="AW913" s="31"/>
      <c r="AX913" s="31"/>
      <c r="AY913" s="31"/>
      <c r="AZ913" s="31"/>
      <c r="BA913" s="31"/>
      <c r="BB913" s="31"/>
      <c r="BC913" s="31"/>
      <c r="BD913" s="31"/>
      <c r="BE913" s="31"/>
      <c r="BF913" s="31"/>
      <c r="BG913" s="31"/>
      <c r="BH913" s="31"/>
      <c r="BI913" s="31"/>
    </row>
    <row r="914" spans="38:61" x14ac:dyDescent="0.2">
      <c r="AL914" s="31"/>
      <c r="AM914" s="31"/>
      <c r="AN914" s="31"/>
      <c r="AO914" s="31"/>
      <c r="AP914" s="31"/>
      <c r="AQ914" s="31"/>
      <c r="AR914" s="31"/>
      <c r="AS914" s="31"/>
      <c r="AT914" s="31"/>
      <c r="AU914" s="31"/>
      <c r="AV914" s="31"/>
      <c r="AW914" s="31"/>
      <c r="AX914" s="31"/>
      <c r="AY914" s="31"/>
      <c r="AZ914" s="31"/>
      <c r="BA914" s="31"/>
      <c r="BB914" s="31"/>
      <c r="BC914" s="31"/>
      <c r="BD914" s="31"/>
      <c r="BE914" s="31"/>
      <c r="BF914" s="31"/>
      <c r="BG914" s="31"/>
      <c r="BH914" s="31"/>
      <c r="BI914" s="31"/>
    </row>
    <row r="915" spans="38:61" x14ac:dyDescent="0.2">
      <c r="AL915" s="31"/>
      <c r="AM915" s="31"/>
      <c r="AN915" s="31"/>
      <c r="AO915" s="31"/>
      <c r="AP915" s="31"/>
      <c r="AQ915" s="31"/>
      <c r="AR915" s="31"/>
      <c r="AS915" s="31"/>
      <c r="AT915" s="31"/>
      <c r="AU915" s="31"/>
      <c r="AV915" s="31"/>
      <c r="AW915" s="31"/>
      <c r="AX915" s="31"/>
      <c r="AY915" s="31"/>
      <c r="AZ915" s="31"/>
      <c r="BA915" s="31"/>
      <c r="BB915" s="31"/>
      <c r="BC915" s="31"/>
      <c r="BD915" s="31"/>
      <c r="BE915" s="31"/>
      <c r="BF915" s="31"/>
      <c r="BG915" s="31"/>
      <c r="BH915" s="31"/>
      <c r="BI915" s="31"/>
    </row>
    <row r="916" spans="38:61" x14ac:dyDescent="0.2">
      <c r="AL916" s="31"/>
      <c r="AM916" s="31"/>
      <c r="AN916" s="31"/>
      <c r="AO916" s="31"/>
      <c r="AP916" s="31"/>
      <c r="AQ916" s="31"/>
      <c r="AR916" s="31"/>
      <c r="AS916" s="31"/>
      <c r="AT916" s="31"/>
      <c r="AU916" s="31"/>
      <c r="AV916" s="31"/>
      <c r="AW916" s="31"/>
      <c r="AX916" s="31"/>
      <c r="AY916" s="31"/>
      <c r="AZ916" s="31"/>
      <c r="BA916" s="31"/>
      <c r="BB916" s="31"/>
      <c r="BC916" s="31"/>
      <c r="BD916" s="31"/>
      <c r="BE916" s="31"/>
      <c r="BF916" s="31"/>
      <c r="BG916" s="31"/>
      <c r="BH916" s="31"/>
      <c r="BI916" s="31"/>
    </row>
    <row r="917" spans="38:61" x14ac:dyDescent="0.2">
      <c r="AL917" s="31"/>
      <c r="AM917" s="31"/>
      <c r="AN917" s="31"/>
      <c r="AO917" s="31"/>
      <c r="AP917" s="31"/>
      <c r="AQ917" s="31"/>
      <c r="AR917" s="31"/>
      <c r="AS917" s="31"/>
      <c r="AT917" s="31"/>
      <c r="AU917" s="31"/>
      <c r="AV917" s="31"/>
      <c r="AW917" s="31"/>
      <c r="AX917" s="31"/>
      <c r="AY917" s="31"/>
      <c r="AZ917" s="31"/>
      <c r="BA917" s="31"/>
      <c r="BB917" s="31"/>
      <c r="BC917" s="31"/>
      <c r="BD917" s="31"/>
      <c r="BE917" s="31"/>
      <c r="BF917" s="31"/>
      <c r="BG917" s="31"/>
      <c r="BH917" s="31"/>
      <c r="BI917" s="31"/>
    </row>
    <row r="918" spans="38:61" x14ac:dyDescent="0.2">
      <c r="AL918" s="31"/>
      <c r="AM918" s="31"/>
      <c r="AN918" s="31"/>
      <c r="AO918" s="31"/>
      <c r="AP918" s="31"/>
      <c r="AQ918" s="31"/>
      <c r="AR918" s="31"/>
      <c r="AS918" s="31"/>
      <c r="AT918" s="31"/>
      <c r="AU918" s="31"/>
      <c r="AV918" s="31"/>
      <c r="AW918" s="31"/>
      <c r="AX918" s="31"/>
      <c r="AY918" s="31"/>
      <c r="AZ918" s="31"/>
      <c r="BA918" s="31"/>
      <c r="BB918" s="31"/>
      <c r="BC918" s="31"/>
      <c r="BD918" s="31"/>
      <c r="BE918" s="31"/>
      <c r="BF918" s="31"/>
      <c r="BG918" s="31"/>
      <c r="BH918" s="31"/>
      <c r="BI918" s="31"/>
    </row>
    <row r="919" spans="38:61" x14ac:dyDescent="0.2">
      <c r="AL919" s="31"/>
      <c r="AM919" s="31"/>
      <c r="AN919" s="31"/>
      <c r="AO919" s="31"/>
      <c r="AP919" s="31"/>
      <c r="AQ919" s="31"/>
      <c r="AR919" s="31"/>
      <c r="AS919" s="31"/>
      <c r="AT919" s="31"/>
      <c r="AU919" s="31"/>
      <c r="AV919" s="31"/>
      <c r="AW919" s="31"/>
      <c r="AX919" s="31"/>
      <c r="AY919" s="31"/>
      <c r="AZ919" s="31"/>
      <c r="BA919" s="31"/>
      <c r="BB919" s="31"/>
      <c r="BC919" s="31"/>
      <c r="BD919" s="31"/>
      <c r="BE919" s="31"/>
      <c r="BF919" s="31"/>
      <c r="BG919" s="31"/>
      <c r="BH919" s="31"/>
      <c r="BI919" s="31"/>
    </row>
    <row r="920" spans="38:61" x14ac:dyDescent="0.2">
      <c r="AL920" s="31"/>
      <c r="AM920" s="31"/>
      <c r="AN920" s="31"/>
      <c r="AO920" s="31"/>
      <c r="AP920" s="31"/>
      <c r="AQ920" s="31"/>
      <c r="AR920" s="31"/>
      <c r="AS920" s="31"/>
      <c r="AT920" s="31"/>
      <c r="AU920" s="31"/>
      <c r="AV920" s="31"/>
      <c r="AW920" s="31"/>
      <c r="AX920" s="31"/>
      <c r="AY920" s="31"/>
      <c r="AZ920" s="31"/>
      <c r="BA920" s="31"/>
      <c r="BB920" s="31"/>
      <c r="BC920" s="31"/>
      <c r="BD920" s="31"/>
      <c r="BE920" s="31"/>
      <c r="BF920" s="31"/>
      <c r="BG920" s="31"/>
      <c r="BH920" s="31"/>
      <c r="BI920" s="31"/>
    </row>
    <row r="921" spans="38:61" x14ac:dyDescent="0.2">
      <c r="AL921" s="31"/>
      <c r="AM921" s="31"/>
      <c r="AN921" s="31"/>
      <c r="AO921" s="31"/>
      <c r="AP921" s="31"/>
      <c r="AQ921" s="31"/>
      <c r="AR921" s="31"/>
      <c r="AS921" s="31"/>
      <c r="AT921" s="31"/>
      <c r="AU921" s="31"/>
      <c r="AV921" s="31"/>
      <c r="AW921" s="31"/>
      <c r="AX921" s="31"/>
      <c r="AY921" s="31"/>
      <c r="AZ921" s="31"/>
      <c r="BA921" s="31"/>
      <c r="BB921" s="31"/>
      <c r="BC921" s="31"/>
      <c r="BD921" s="31"/>
      <c r="BE921" s="31"/>
      <c r="BF921" s="31"/>
      <c r="BG921" s="31"/>
      <c r="BH921" s="31"/>
      <c r="BI921" s="31"/>
    </row>
    <row r="922" spans="38:61" x14ac:dyDescent="0.2">
      <c r="AL922" s="31"/>
      <c r="AM922" s="31"/>
      <c r="AN922" s="31"/>
      <c r="AO922" s="31"/>
      <c r="AP922" s="31"/>
      <c r="AQ922" s="31"/>
      <c r="AR922" s="31"/>
      <c r="AS922" s="31"/>
      <c r="AT922" s="31"/>
      <c r="AU922" s="31"/>
      <c r="AV922" s="31"/>
      <c r="AW922" s="31"/>
      <c r="AX922" s="31"/>
      <c r="AY922" s="31"/>
      <c r="AZ922" s="31"/>
      <c r="BA922" s="31"/>
      <c r="BB922" s="31"/>
      <c r="BC922" s="31"/>
      <c r="BD922" s="31"/>
      <c r="BE922" s="31"/>
      <c r="BF922" s="31"/>
      <c r="BG922" s="31"/>
      <c r="BH922" s="31"/>
      <c r="BI922" s="31"/>
    </row>
    <row r="923" spans="38:61" x14ac:dyDescent="0.2">
      <c r="AL923" s="31"/>
      <c r="AM923" s="31"/>
      <c r="AN923" s="31"/>
      <c r="AO923" s="31"/>
      <c r="AP923" s="31"/>
      <c r="AQ923" s="31"/>
      <c r="AR923" s="31"/>
      <c r="AS923" s="31"/>
      <c r="AT923" s="31"/>
      <c r="AU923" s="31"/>
      <c r="AV923" s="31"/>
      <c r="AW923" s="31"/>
      <c r="AX923" s="31"/>
      <c r="AY923" s="31"/>
      <c r="AZ923" s="31"/>
      <c r="BA923" s="31"/>
      <c r="BB923" s="31"/>
      <c r="BC923" s="31"/>
      <c r="BD923" s="31"/>
      <c r="BE923" s="31"/>
      <c r="BF923" s="31"/>
      <c r="BG923" s="31"/>
      <c r="BH923" s="31"/>
      <c r="BI923" s="31"/>
    </row>
    <row r="924" spans="38:61" x14ac:dyDescent="0.2">
      <c r="AL924" s="31"/>
      <c r="AM924" s="31"/>
      <c r="AN924" s="31"/>
      <c r="AO924" s="31"/>
      <c r="AP924" s="31"/>
      <c r="AQ924" s="31"/>
      <c r="AR924" s="31"/>
      <c r="AS924" s="31"/>
      <c r="AT924" s="31"/>
      <c r="AU924" s="31"/>
      <c r="AV924" s="31"/>
      <c r="AW924" s="31"/>
      <c r="AX924" s="31"/>
      <c r="AY924" s="31"/>
      <c r="AZ924" s="31"/>
      <c r="BA924" s="31"/>
      <c r="BB924" s="31"/>
      <c r="BC924" s="31"/>
      <c r="BD924" s="31"/>
      <c r="BE924" s="31"/>
      <c r="BF924" s="31"/>
      <c r="BG924" s="31"/>
      <c r="BH924" s="31"/>
      <c r="BI924" s="31"/>
    </row>
    <row r="925" spans="38:61" x14ac:dyDescent="0.2">
      <c r="AL925" s="31"/>
      <c r="AM925" s="31"/>
      <c r="AN925" s="31"/>
      <c r="AO925" s="31"/>
      <c r="AP925" s="31"/>
      <c r="AQ925" s="31"/>
      <c r="AR925" s="31"/>
      <c r="AS925" s="31"/>
      <c r="AT925" s="31"/>
      <c r="AU925" s="31"/>
      <c r="AV925" s="31"/>
      <c r="AW925" s="31"/>
      <c r="AX925" s="31"/>
      <c r="AY925" s="31"/>
      <c r="AZ925" s="31"/>
      <c r="BA925" s="31"/>
      <c r="BB925" s="31"/>
      <c r="BC925" s="31"/>
      <c r="BD925" s="31"/>
      <c r="BE925" s="31"/>
      <c r="BF925" s="31"/>
      <c r="BG925" s="31"/>
      <c r="BH925" s="31"/>
      <c r="BI925" s="31"/>
    </row>
    <row r="926" spans="38:61" x14ac:dyDescent="0.2">
      <c r="AL926" s="31"/>
      <c r="AM926" s="31"/>
      <c r="AN926" s="31"/>
      <c r="AO926" s="31"/>
      <c r="AP926" s="31"/>
      <c r="AQ926" s="31"/>
      <c r="AR926" s="31"/>
      <c r="AS926" s="31"/>
      <c r="AT926" s="31"/>
      <c r="AU926" s="31"/>
      <c r="AV926" s="31"/>
      <c r="AW926" s="31"/>
      <c r="AX926" s="31"/>
      <c r="AY926" s="31"/>
      <c r="AZ926" s="31"/>
      <c r="BA926" s="31"/>
      <c r="BB926" s="31"/>
      <c r="BC926" s="31"/>
      <c r="BD926" s="31"/>
      <c r="BE926" s="31"/>
      <c r="BF926" s="31"/>
      <c r="BG926" s="31"/>
      <c r="BH926" s="31"/>
      <c r="BI926" s="31"/>
    </row>
    <row r="927" spans="38:61" x14ac:dyDescent="0.2">
      <c r="AL927" s="31"/>
      <c r="AM927" s="31"/>
      <c r="AN927" s="31"/>
      <c r="AO927" s="31"/>
      <c r="AP927" s="31"/>
      <c r="AQ927" s="31"/>
      <c r="AR927" s="31"/>
      <c r="AS927" s="31"/>
      <c r="AT927" s="31"/>
      <c r="AU927" s="31"/>
      <c r="AV927" s="31"/>
      <c r="AW927" s="31"/>
      <c r="AX927" s="31"/>
      <c r="AY927" s="31"/>
      <c r="AZ927" s="31"/>
      <c r="BA927" s="31"/>
      <c r="BB927" s="31"/>
      <c r="BC927" s="31"/>
      <c r="BD927" s="31"/>
      <c r="BE927" s="31"/>
      <c r="BF927" s="31"/>
      <c r="BG927" s="31"/>
      <c r="BH927" s="31"/>
      <c r="BI927" s="31"/>
    </row>
    <row r="928" spans="38:61" x14ac:dyDescent="0.2">
      <c r="AL928" s="31"/>
      <c r="AM928" s="31"/>
      <c r="AN928" s="31"/>
      <c r="AO928" s="31"/>
      <c r="AP928" s="31"/>
      <c r="AQ928" s="31"/>
      <c r="AR928" s="31"/>
      <c r="AS928" s="31"/>
      <c r="AT928" s="31"/>
      <c r="AU928" s="31"/>
      <c r="AV928" s="31"/>
      <c r="AW928" s="31"/>
      <c r="AX928" s="31"/>
      <c r="AY928" s="31"/>
      <c r="AZ928" s="31"/>
      <c r="BA928" s="31"/>
      <c r="BB928" s="31"/>
      <c r="BC928" s="31"/>
      <c r="BD928" s="31"/>
      <c r="BE928" s="31"/>
      <c r="BF928" s="31"/>
      <c r="BG928" s="31"/>
      <c r="BH928" s="31"/>
      <c r="BI928" s="31"/>
    </row>
    <row r="929" spans="38:61" x14ac:dyDescent="0.2">
      <c r="AL929" s="31"/>
      <c r="AM929" s="31"/>
      <c r="AN929" s="31"/>
      <c r="AO929" s="31"/>
      <c r="AP929" s="31"/>
      <c r="AQ929" s="31"/>
      <c r="AR929" s="31"/>
      <c r="AS929" s="31"/>
      <c r="AT929" s="31"/>
      <c r="AU929" s="31"/>
      <c r="AV929" s="31"/>
      <c r="AW929" s="31"/>
      <c r="AX929" s="31"/>
      <c r="AY929" s="31"/>
      <c r="AZ929" s="31"/>
      <c r="BA929" s="31"/>
      <c r="BB929" s="31"/>
      <c r="BC929" s="31"/>
      <c r="BD929" s="31"/>
      <c r="BE929" s="31"/>
      <c r="BF929" s="31"/>
      <c r="BG929" s="31"/>
      <c r="BH929" s="31"/>
      <c r="BI929" s="31"/>
    </row>
    <row r="930" spans="38:61" x14ac:dyDescent="0.2">
      <c r="AL930" s="31"/>
      <c r="AM930" s="31"/>
      <c r="AN930" s="31"/>
      <c r="AO930" s="31"/>
      <c r="AP930" s="31"/>
      <c r="AQ930" s="31"/>
      <c r="AR930" s="31"/>
      <c r="AS930" s="31"/>
      <c r="AT930" s="31"/>
      <c r="AU930" s="31"/>
      <c r="AV930" s="31"/>
      <c r="AW930" s="31"/>
      <c r="AX930" s="31"/>
      <c r="AY930" s="31"/>
      <c r="AZ930" s="31"/>
      <c r="BA930" s="31"/>
      <c r="BB930" s="31"/>
      <c r="BC930" s="31"/>
      <c r="BD930" s="31"/>
      <c r="BE930" s="31"/>
      <c r="BF930" s="31"/>
      <c r="BG930" s="31"/>
      <c r="BH930" s="31"/>
      <c r="BI930" s="31"/>
    </row>
    <row r="931" spans="38:61" x14ac:dyDescent="0.2">
      <c r="AL931" s="31"/>
      <c r="AM931" s="31"/>
      <c r="AN931" s="31"/>
      <c r="AO931" s="31"/>
      <c r="AP931" s="31"/>
      <c r="AQ931" s="31"/>
      <c r="AR931" s="31"/>
      <c r="AS931" s="31"/>
      <c r="AT931" s="31"/>
      <c r="AU931" s="31"/>
      <c r="AV931" s="31"/>
      <c r="AW931" s="31"/>
      <c r="AX931" s="31"/>
      <c r="AY931" s="31"/>
      <c r="AZ931" s="31"/>
      <c r="BA931" s="31"/>
      <c r="BB931" s="31"/>
      <c r="BC931" s="31"/>
      <c r="BD931" s="31"/>
      <c r="BE931" s="31"/>
      <c r="BF931" s="31"/>
      <c r="BG931" s="31"/>
      <c r="BH931" s="31"/>
      <c r="BI931" s="31"/>
    </row>
    <row r="932" spans="38:61" x14ac:dyDescent="0.2">
      <c r="AL932" s="31"/>
      <c r="AM932" s="31"/>
      <c r="AN932" s="31"/>
      <c r="AO932" s="31"/>
      <c r="AP932" s="31"/>
      <c r="AQ932" s="31"/>
      <c r="AR932" s="31"/>
      <c r="AS932" s="31"/>
      <c r="AT932" s="31"/>
      <c r="AU932" s="31"/>
      <c r="AV932" s="31"/>
      <c r="AW932" s="31"/>
      <c r="AX932" s="31"/>
      <c r="AY932" s="31"/>
      <c r="AZ932" s="31"/>
      <c r="BA932" s="31"/>
      <c r="BB932" s="31"/>
      <c r="BC932" s="31"/>
      <c r="BD932" s="31"/>
      <c r="BE932" s="31"/>
      <c r="BF932" s="31"/>
      <c r="BG932" s="31"/>
      <c r="BH932" s="31"/>
      <c r="BI932" s="31"/>
    </row>
    <row r="933" spans="38:61" x14ac:dyDescent="0.2">
      <c r="AL933" s="31"/>
      <c r="AM933" s="31"/>
      <c r="AN933" s="31"/>
      <c r="AO933" s="31"/>
      <c r="AP933" s="31"/>
      <c r="AQ933" s="31"/>
      <c r="AR933" s="31"/>
      <c r="AS933" s="31"/>
      <c r="AT933" s="31"/>
      <c r="AU933" s="31"/>
      <c r="AV933" s="31"/>
      <c r="AW933" s="31"/>
      <c r="AX933" s="31"/>
      <c r="AY933" s="31"/>
      <c r="AZ933" s="31"/>
      <c r="BA933" s="31"/>
      <c r="BB933" s="31"/>
      <c r="BC933" s="31"/>
      <c r="BD933" s="31"/>
      <c r="BE933" s="31"/>
      <c r="BF933" s="31"/>
      <c r="BG933" s="31"/>
      <c r="BH933" s="31"/>
      <c r="BI933" s="31"/>
    </row>
    <row r="934" spans="38:61" x14ac:dyDescent="0.2">
      <c r="AL934" s="31"/>
      <c r="AM934" s="31"/>
      <c r="AN934" s="31"/>
      <c r="AO934" s="31"/>
      <c r="AP934" s="31"/>
      <c r="AQ934" s="31"/>
      <c r="AR934" s="31"/>
      <c r="AS934" s="31"/>
      <c r="AT934" s="31"/>
      <c r="AU934" s="31"/>
      <c r="AV934" s="31"/>
      <c r="AW934" s="31"/>
      <c r="AX934" s="31"/>
      <c r="AY934" s="31"/>
      <c r="AZ934" s="31"/>
      <c r="BA934" s="31"/>
      <c r="BB934" s="31"/>
      <c r="BC934" s="31"/>
      <c r="BD934" s="31"/>
      <c r="BE934" s="31"/>
      <c r="BF934" s="31"/>
      <c r="BG934" s="31"/>
      <c r="BH934" s="31"/>
      <c r="BI934" s="31"/>
    </row>
    <row r="935" spans="38:61" x14ac:dyDescent="0.2">
      <c r="AL935" s="31"/>
      <c r="AM935" s="31"/>
      <c r="AN935" s="31"/>
      <c r="AO935" s="31"/>
      <c r="AP935" s="31"/>
      <c r="AQ935" s="31"/>
      <c r="AR935" s="31"/>
      <c r="AS935" s="31"/>
      <c r="AT935" s="31"/>
      <c r="AU935" s="31"/>
      <c r="AV935" s="31"/>
      <c r="AW935" s="31"/>
      <c r="AX935" s="31"/>
      <c r="AY935" s="31"/>
      <c r="AZ935" s="31"/>
      <c r="BA935" s="31"/>
      <c r="BB935" s="31"/>
      <c r="BC935" s="31"/>
      <c r="BD935" s="31"/>
      <c r="BE935" s="31"/>
      <c r="BF935" s="31"/>
      <c r="BG935" s="31"/>
      <c r="BH935" s="31"/>
      <c r="BI935" s="31"/>
    </row>
    <row r="936" spans="38:61" x14ac:dyDescent="0.2">
      <c r="AL936" s="31"/>
      <c r="AM936" s="31"/>
      <c r="AN936" s="31"/>
      <c r="AO936" s="31"/>
      <c r="AP936" s="31"/>
      <c r="AQ936" s="31"/>
      <c r="AR936" s="31"/>
      <c r="AS936" s="31"/>
      <c r="AT936" s="31"/>
      <c r="AU936" s="31"/>
      <c r="AV936" s="31"/>
      <c r="AW936" s="31"/>
      <c r="AX936" s="31"/>
      <c r="AY936" s="31"/>
      <c r="AZ936" s="31"/>
      <c r="BA936" s="31"/>
      <c r="BB936" s="31"/>
      <c r="BC936" s="31"/>
      <c r="BD936" s="31"/>
      <c r="BE936" s="31"/>
      <c r="BF936" s="31"/>
      <c r="BG936" s="31"/>
      <c r="BH936" s="31"/>
      <c r="BI936" s="31"/>
    </row>
    <row r="937" spans="38:61" x14ac:dyDescent="0.2">
      <c r="AL937" s="31"/>
      <c r="AM937" s="31"/>
      <c r="AN937" s="31"/>
      <c r="AO937" s="31"/>
      <c r="AP937" s="31"/>
      <c r="AQ937" s="31"/>
      <c r="AR937" s="31"/>
      <c r="AS937" s="31"/>
      <c r="AT937" s="31"/>
      <c r="AU937" s="31"/>
      <c r="AV937" s="31"/>
      <c r="AW937" s="31"/>
      <c r="AX937" s="31"/>
      <c r="AY937" s="31"/>
      <c r="AZ937" s="31"/>
      <c r="BA937" s="31"/>
      <c r="BB937" s="31"/>
      <c r="BC937" s="31"/>
      <c r="BD937" s="31"/>
      <c r="BE937" s="31"/>
      <c r="BF937" s="31"/>
      <c r="BG937" s="31"/>
      <c r="BH937" s="31"/>
      <c r="BI937" s="31"/>
    </row>
    <row r="938" spans="38:61" x14ac:dyDescent="0.2">
      <c r="AL938" s="31"/>
      <c r="AM938" s="31"/>
      <c r="AN938" s="31"/>
      <c r="AO938" s="31"/>
      <c r="AP938" s="31"/>
      <c r="AQ938" s="31"/>
      <c r="AR938" s="31"/>
      <c r="AS938" s="31"/>
      <c r="AT938" s="31"/>
      <c r="AU938" s="31"/>
      <c r="AV938" s="31"/>
      <c r="AW938" s="31"/>
      <c r="AX938" s="31"/>
      <c r="AY938" s="31"/>
      <c r="AZ938" s="31"/>
      <c r="BA938" s="31"/>
      <c r="BB938" s="31"/>
      <c r="BC938" s="31"/>
      <c r="BD938" s="31"/>
      <c r="BE938" s="31"/>
      <c r="BF938" s="31"/>
      <c r="BG938" s="31"/>
      <c r="BH938" s="31"/>
      <c r="BI938" s="31"/>
    </row>
    <row r="939" spans="38:61" x14ac:dyDescent="0.2">
      <c r="AL939" s="31"/>
      <c r="AM939" s="31"/>
      <c r="AN939" s="31"/>
      <c r="AO939" s="31"/>
      <c r="AP939" s="31"/>
      <c r="AQ939" s="31"/>
      <c r="AR939" s="31"/>
      <c r="AS939" s="31"/>
      <c r="AT939" s="31"/>
      <c r="AU939" s="31"/>
      <c r="AV939" s="31"/>
      <c r="AW939" s="31"/>
      <c r="AX939" s="31"/>
      <c r="AY939" s="31"/>
      <c r="AZ939" s="31"/>
      <c r="BA939" s="31"/>
      <c r="BB939" s="31"/>
      <c r="BC939" s="31"/>
      <c r="BD939" s="31"/>
      <c r="BE939" s="31"/>
      <c r="BF939" s="31"/>
      <c r="BG939" s="31"/>
      <c r="BH939" s="31"/>
      <c r="BI939" s="31"/>
    </row>
    <row r="940" spans="38:61" x14ac:dyDescent="0.2">
      <c r="AL940" s="31"/>
      <c r="AM940" s="31"/>
      <c r="AN940" s="31"/>
      <c r="AO940" s="31"/>
      <c r="AP940" s="31"/>
      <c r="AQ940" s="31"/>
      <c r="AR940" s="31"/>
      <c r="AS940" s="31"/>
      <c r="AT940" s="31"/>
      <c r="AU940" s="31"/>
      <c r="AV940" s="31"/>
      <c r="AW940" s="31"/>
      <c r="AX940" s="31"/>
      <c r="AY940" s="31"/>
      <c r="AZ940" s="31"/>
      <c r="BA940" s="31"/>
      <c r="BB940" s="31"/>
      <c r="BC940" s="31"/>
      <c r="BD940" s="31"/>
      <c r="BE940" s="31"/>
      <c r="BF940" s="31"/>
      <c r="BG940" s="31"/>
      <c r="BH940" s="31"/>
      <c r="BI940" s="31"/>
    </row>
    <row r="941" spans="38:61" x14ac:dyDescent="0.2">
      <c r="AL941" s="31"/>
      <c r="AM941" s="31"/>
      <c r="AN941" s="31"/>
      <c r="AO941" s="31"/>
      <c r="AP941" s="31"/>
      <c r="AQ941" s="31"/>
      <c r="AR941" s="31"/>
      <c r="AS941" s="31"/>
      <c r="AT941" s="31"/>
      <c r="AU941" s="31"/>
      <c r="AV941" s="31"/>
      <c r="AW941" s="31"/>
      <c r="AX941" s="31"/>
      <c r="AY941" s="31"/>
      <c r="AZ941" s="31"/>
      <c r="BA941" s="31"/>
      <c r="BB941" s="31"/>
      <c r="BC941" s="31"/>
      <c r="BD941" s="31"/>
      <c r="BE941" s="31"/>
      <c r="BF941" s="31"/>
      <c r="BG941" s="31"/>
      <c r="BH941" s="31"/>
      <c r="BI941" s="31"/>
    </row>
    <row r="942" spans="38:61" x14ac:dyDescent="0.2">
      <c r="AL942" s="31"/>
      <c r="AM942" s="31"/>
      <c r="AN942" s="31"/>
      <c r="AO942" s="31"/>
      <c r="AP942" s="31"/>
      <c r="AQ942" s="31"/>
      <c r="AR942" s="31"/>
      <c r="AS942" s="31"/>
      <c r="AT942" s="31"/>
      <c r="AU942" s="31"/>
      <c r="AV942" s="31"/>
      <c r="AW942" s="31"/>
      <c r="AX942" s="31"/>
      <c r="AY942" s="31"/>
      <c r="AZ942" s="31"/>
      <c r="BA942" s="31"/>
      <c r="BB942" s="31"/>
      <c r="BC942" s="31"/>
      <c r="BD942" s="31"/>
      <c r="BE942" s="31"/>
      <c r="BF942" s="31"/>
      <c r="BG942" s="31"/>
      <c r="BH942" s="31"/>
      <c r="BI942" s="31"/>
    </row>
    <row r="943" spans="38:61" x14ac:dyDescent="0.2">
      <c r="AL943" s="31"/>
      <c r="AM943" s="31"/>
      <c r="AN943" s="31"/>
      <c r="AO943" s="31"/>
      <c r="AP943" s="31"/>
      <c r="AQ943" s="31"/>
      <c r="AR943" s="31"/>
      <c r="AS943" s="31"/>
      <c r="AT943" s="31"/>
      <c r="AU943" s="31"/>
      <c r="AV943" s="31"/>
      <c r="AW943" s="31"/>
      <c r="AX943" s="31"/>
      <c r="AY943" s="31"/>
      <c r="AZ943" s="31"/>
      <c r="BA943" s="31"/>
      <c r="BB943" s="31"/>
      <c r="BC943" s="31"/>
      <c r="BD943" s="31"/>
      <c r="BE943" s="31"/>
      <c r="BF943" s="31"/>
      <c r="BG943" s="31"/>
      <c r="BH943" s="31"/>
      <c r="BI943" s="31"/>
    </row>
    <row r="944" spans="38:61" x14ac:dyDescent="0.2">
      <c r="AL944" s="31"/>
      <c r="AM944" s="31"/>
      <c r="AN944" s="31"/>
      <c r="AO944" s="31"/>
      <c r="AP944" s="31"/>
      <c r="AQ944" s="31"/>
      <c r="AR944" s="31"/>
      <c r="AS944" s="31"/>
      <c r="AT944" s="31"/>
      <c r="AU944" s="31"/>
      <c r="AV944" s="31"/>
      <c r="AW944" s="31"/>
      <c r="AX944" s="31"/>
      <c r="AY944" s="31"/>
      <c r="AZ944" s="31"/>
      <c r="BA944" s="31"/>
      <c r="BB944" s="31"/>
      <c r="BC944" s="31"/>
      <c r="BD944" s="31"/>
      <c r="BE944" s="31"/>
      <c r="BF944" s="31"/>
      <c r="BG944" s="31"/>
      <c r="BH944" s="31"/>
      <c r="BI944" s="31"/>
    </row>
    <row r="945" spans="38:61" x14ac:dyDescent="0.2">
      <c r="AL945" s="31"/>
      <c r="AM945" s="31"/>
      <c r="AN945" s="31"/>
      <c r="AO945" s="31"/>
      <c r="AP945" s="31"/>
      <c r="AQ945" s="31"/>
      <c r="AR945" s="31"/>
      <c r="AS945" s="31"/>
      <c r="AT945" s="31"/>
      <c r="AU945" s="31"/>
      <c r="AV945" s="31"/>
      <c r="AW945" s="31"/>
      <c r="AX945" s="31"/>
      <c r="AY945" s="31"/>
      <c r="AZ945" s="31"/>
      <c r="BA945" s="31"/>
      <c r="BB945" s="31"/>
      <c r="BC945" s="31"/>
      <c r="BD945" s="31"/>
      <c r="BE945" s="31"/>
      <c r="BF945" s="31"/>
      <c r="BG945" s="31"/>
      <c r="BH945" s="31"/>
      <c r="BI945" s="31"/>
    </row>
    <row r="946" spans="38:61" x14ac:dyDescent="0.2">
      <c r="AL946" s="31"/>
      <c r="AM946" s="31"/>
      <c r="AN946" s="31"/>
      <c r="AO946" s="31"/>
      <c r="AP946" s="31"/>
      <c r="AQ946" s="31"/>
      <c r="AR946" s="31"/>
      <c r="AS946" s="31"/>
      <c r="AT946" s="31"/>
      <c r="AU946" s="31"/>
      <c r="AV946" s="31"/>
      <c r="AW946" s="31"/>
      <c r="AX946" s="31"/>
      <c r="AY946" s="31"/>
      <c r="AZ946" s="31"/>
      <c r="BA946" s="31"/>
      <c r="BB946" s="31"/>
      <c r="BC946" s="31"/>
      <c r="BD946" s="31"/>
      <c r="BE946" s="31"/>
      <c r="BF946" s="31"/>
      <c r="BG946" s="31"/>
      <c r="BH946" s="31"/>
      <c r="BI946" s="31"/>
    </row>
    <row r="947" spans="38:61" x14ac:dyDescent="0.2">
      <c r="AL947" s="31"/>
      <c r="AM947" s="31"/>
      <c r="AN947" s="31"/>
      <c r="AO947" s="31"/>
      <c r="AP947" s="31"/>
      <c r="AQ947" s="31"/>
      <c r="AR947" s="31"/>
      <c r="AS947" s="31"/>
      <c r="AT947" s="31"/>
      <c r="AU947" s="31"/>
      <c r="AV947" s="31"/>
      <c r="AW947" s="31"/>
      <c r="AX947" s="31"/>
      <c r="AY947" s="31"/>
      <c r="AZ947" s="31"/>
      <c r="BA947" s="31"/>
      <c r="BB947" s="31"/>
      <c r="BC947" s="31"/>
      <c r="BD947" s="31"/>
      <c r="BE947" s="31"/>
      <c r="BF947" s="31"/>
      <c r="BG947" s="31"/>
      <c r="BH947" s="31"/>
      <c r="BI947" s="31"/>
    </row>
    <row r="948" spans="38:61" x14ac:dyDescent="0.2">
      <c r="AL948" s="31"/>
      <c r="AM948" s="31"/>
      <c r="AN948" s="31"/>
      <c r="AO948" s="31"/>
      <c r="AP948" s="31"/>
      <c r="AQ948" s="31"/>
      <c r="AR948" s="31"/>
      <c r="AS948" s="31"/>
      <c r="AT948" s="31"/>
      <c r="AU948" s="31"/>
      <c r="AV948" s="31"/>
      <c r="AW948" s="31"/>
      <c r="AX948" s="31"/>
      <c r="AY948" s="31"/>
      <c r="AZ948" s="31"/>
      <c r="BA948" s="31"/>
      <c r="BB948" s="31"/>
      <c r="BC948" s="31"/>
      <c r="BD948" s="31"/>
      <c r="BE948" s="31"/>
      <c r="BF948" s="31"/>
      <c r="BG948" s="31"/>
      <c r="BH948" s="31"/>
      <c r="BI948" s="31"/>
    </row>
    <row r="949" spans="38:61" x14ac:dyDescent="0.2">
      <c r="AL949" s="31"/>
      <c r="AM949" s="31"/>
      <c r="AN949" s="31"/>
      <c r="AO949" s="31"/>
      <c r="AP949" s="31"/>
      <c r="AQ949" s="31"/>
      <c r="AR949" s="31"/>
      <c r="AS949" s="31"/>
      <c r="AT949" s="31"/>
      <c r="AU949" s="31"/>
      <c r="AV949" s="31"/>
      <c r="AW949" s="31"/>
      <c r="AX949" s="31"/>
      <c r="AY949" s="31"/>
      <c r="AZ949" s="31"/>
      <c r="BA949" s="31"/>
      <c r="BB949" s="31"/>
      <c r="BC949" s="31"/>
      <c r="BD949" s="31"/>
      <c r="BE949" s="31"/>
      <c r="BF949" s="31"/>
      <c r="BG949" s="31"/>
      <c r="BH949" s="31"/>
      <c r="BI949" s="31"/>
    </row>
    <row r="950" spans="38:61" x14ac:dyDescent="0.2">
      <c r="AL950" s="31"/>
      <c r="AM950" s="31"/>
      <c r="AN950" s="31"/>
      <c r="AO950" s="31"/>
      <c r="AP950" s="31"/>
      <c r="AQ950" s="31"/>
      <c r="AR950" s="31"/>
      <c r="AS950" s="31"/>
      <c r="AT950" s="31"/>
      <c r="AU950" s="31"/>
      <c r="AV950" s="31"/>
      <c r="AW950" s="31"/>
      <c r="AX950" s="31"/>
      <c r="AY950" s="31"/>
      <c r="AZ950" s="31"/>
      <c r="BA950" s="31"/>
      <c r="BB950" s="31"/>
      <c r="BC950" s="31"/>
      <c r="BD950" s="31"/>
      <c r="BE950" s="31"/>
      <c r="BF950" s="31"/>
      <c r="BG950" s="31"/>
      <c r="BH950" s="31"/>
      <c r="BI950" s="31"/>
    </row>
    <row r="951" spans="38:61" x14ac:dyDescent="0.2">
      <c r="AL951" s="31"/>
      <c r="AM951" s="31"/>
      <c r="AN951" s="31"/>
      <c r="AO951" s="31"/>
      <c r="AP951" s="31"/>
      <c r="AQ951" s="31"/>
      <c r="AR951" s="31"/>
      <c r="AS951" s="31"/>
      <c r="AT951" s="31"/>
      <c r="AU951" s="31"/>
      <c r="AV951" s="31"/>
      <c r="AW951" s="31"/>
      <c r="AX951" s="31"/>
      <c r="AY951" s="31"/>
      <c r="AZ951" s="31"/>
      <c r="BA951" s="31"/>
      <c r="BB951" s="31"/>
      <c r="BC951" s="31"/>
      <c r="BD951" s="31"/>
      <c r="BE951" s="31"/>
      <c r="BF951" s="31"/>
      <c r="BG951" s="31"/>
      <c r="BH951" s="31"/>
      <c r="BI951" s="31"/>
    </row>
    <row r="952" spans="38:61" x14ac:dyDescent="0.2">
      <c r="AL952" s="31"/>
      <c r="AM952" s="31"/>
      <c r="AN952" s="31"/>
      <c r="AO952" s="31"/>
      <c r="AP952" s="31"/>
      <c r="AQ952" s="31"/>
      <c r="AR952" s="31"/>
      <c r="AS952" s="31"/>
      <c r="AT952" s="31"/>
      <c r="AU952" s="31"/>
      <c r="AV952" s="31"/>
      <c r="AW952" s="31"/>
      <c r="AX952" s="31"/>
      <c r="AY952" s="31"/>
      <c r="AZ952" s="31"/>
      <c r="BA952" s="31"/>
      <c r="BB952" s="31"/>
      <c r="BC952" s="31"/>
      <c r="BD952" s="31"/>
      <c r="BE952" s="31"/>
      <c r="BF952" s="31"/>
      <c r="BG952" s="31"/>
      <c r="BH952" s="31"/>
      <c r="BI952" s="31"/>
    </row>
    <row r="953" spans="38:61" x14ac:dyDescent="0.2">
      <c r="AL953" s="31"/>
      <c r="AM953" s="31"/>
      <c r="AN953" s="31"/>
      <c r="AO953" s="31"/>
      <c r="AP953" s="31"/>
      <c r="AQ953" s="31"/>
      <c r="AR953" s="31"/>
      <c r="AS953" s="31"/>
      <c r="AT953" s="31"/>
      <c r="AU953" s="31"/>
      <c r="AV953" s="31"/>
      <c r="AW953" s="31"/>
      <c r="AX953" s="31"/>
      <c r="AY953" s="31"/>
      <c r="AZ953" s="31"/>
      <c r="BA953" s="31"/>
      <c r="BB953" s="31"/>
      <c r="BC953" s="31"/>
      <c r="BD953" s="31"/>
      <c r="BE953" s="31"/>
      <c r="BF953" s="31"/>
      <c r="BG953" s="31"/>
      <c r="BH953" s="31"/>
      <c r="BI953" s="31"/>
    </row>
    <row r="954" spans="38:61" x14ac:dyDescent="0.2">
      <c r="AL954" s="31"/>
      <c r="AM954" s="31"/>
      <c r="AN954" s="31"/>
      <c r="AO954" s="31"/>
      <c r="AP954" s="31"/>
      <c r="AQ954" s="31"/>
      <c r="AR954" s="31"/>
      <c r="AS954" s="31"/>
      <c r="AT954" s="31"/>
      <c r="AU954" s="31"/>
      <c r="AV954" s="31"/>
      <c r="AW954" s="31"/>
      <c r="AX954" s="31"/>
      <c r="AY954" s="31"/>
      <c r="AZ954" s="31"/>
      <c r="BA954" s="31"/>
      <c r="BB954" s="31"/>
      <c r="BC954" s="31"/>
      <c r="BD954" s="31"/>
      <c r="BE954" s="31"/>
      <c r="BF954" s="31"/>
      <c r="BG954" s="31"/>
      <c r="BH954" s="31"/>
      <c r="BI954" s="31"/>
    </row>
    <row r="955" spans="38:61" x14ac:dyDescent="0.2">
      <c r="AL955" s="31"/>
      <c r="AM955" s="31"/>
      <c r="AN955" s="31"/>
      <c r="AO955" s="31"/>
      <c r="AP955" s="31"/>
      <c r="AQ955" s="31"/>
      <c r="AR955" s="31"/>
      <c r="AS955" s="31"/>
      <c r="AT955" s="31"/>
      <c r="AU955" s="31"/>
      <c r="AV955" s="31"/>
      <c r="AW955" s="31"/>
      <c r="AX955" s="31"/>
      <c r="AY955" s="31"/>
      <c r="AZ955" s="31"/>
      <c r="BA955" s="31"/>
      <c r="BB955" s="31"/>
      <c r="BC955" s="31"/>
      <c r="BD955" s="31"/>
      <c r="BE955" s="31"/>
      <c r="BF955" s="31"/>
      <c r="BG955" s="31"/>
      <c r="BH955" s="31"/>
      <c r="BI955" s="31"/>
    </row>
    <row r="956" spans="38:61" x14ac:dyDescent="0.2">
      <c r="AL956" s="31"/>
      <c r="AM956" s="31"/>
      <c r="AN956" s="31"/>
      <c r="AO956" s="31"/>
      <c r="AP956" s="31"/>
      <c r="AQ956" s="31"/>
      <c r="AR956" s="31"/>
      <c r="AS956" s="31"/>
      <c r="AT956" s="31"/>
      <c r="AU956" s="31"/>
      <c r="AV956" s="31"/>
      <c r="AW956" s="31"/>
      <c r="AX956" s="31"/>
      <c r="AY956" s="31"/>
      <c r="AZ956" s="31"/>
      <c r="BA956" s="31"/>
      <c r="BB956" s="31"/>
      <c r="BC956" s="31"/>
      <c r="BD956" s="31"/>
      <c r="BE956" s="31"/>
      <c r="BF956" s="31"/>
      <c r="BG956" s="31"/>
      <c r="BH956" s="31"/>
      <c r="BI956" s="31"/>
    </row>
    <row r="957" spans="38:61" x14ac:dyDescent="0.2">
      <c r="AL957" s="31"/>
      <c r="AM957" s="31"/>
      <c r="AN957" s="31"/>
      <c r="AO957" s="31"/>
      <c r="AP957" s="31"/>
      <c r="AQ957" s="31"/>
      <c r="AR957" s="31"/>
      <c r="AS957" s="31"/>
      <c r="AT957" s="31"/>
      <c r="AU957" s="31"/>
      <c r="AV957" s="31"/>
      <c r="AW957" s="31"/>
      <c r="AX957" s="31"/>
      <c r="AY957" s="31"/>
      <c r="AZ957" s="31"/>
      <c r="BA957" s="31"/>
      <c r="BB957" s="31"/>
      <c r="BC957" s="31"/>
      <c r="BD957" s="31"/>
      <c r="BE957" s="31"/>
      <c r="BF957" s="31"/>
      <c r="BG957" s="31"/>
      <c r="BH957" s="31"/>
      <c r="BI957" s="31"/>
    </row>
    <row r="958" spans="38:61" x14ac:dyDescent="0.2">
      <c r="AL958" s="31"/>
      <c r="AM958" s="31"/>
      <c r="AN958" s="31"/>
      <c r="AO958" s="31"/>
      <c r="AP958" s="31"/>
      <c r="AQ958" s="31"/>
      <c r="AR958" s="31"/>
      <c r="AS958" s="31"/>
      <c r="AT958" s="31"/>
      <c r="AU958" s="31"/>
      <c r="AV958" s="31"/>
      <c r="AW958" s="31"/>
      <c r="AX958" s="31"/>
      <c r="AY958" s="31"/>
      <c r="AZ958" s="31"/>
      <c r="BA958" s="31"/>
      <c r="BB958" s="31"/>
      <c r="BC958" s="31"/>
      <c r="BD958" s="31"/>
      <c r="BE958" s="31"/>
      <c r="BF958" s="31"/>
      <c r="BG958" s="31"/>
      <c r="BH958" s="31"/>
      <c r="BI958" s="31"/>
    </row>
    <row r="959" spans="38:61" x14ac:dyDescent="0.2">
      <c r="AL959" s="31"/>
      <c r="AM959" s="31"/>
      <c r="AN959" s="31"/>
      <c r="AO959" s="31"/>
      <c r="AP959" s="31"/>
      <c r="AQ959" s="31"/>
      <c r="AR959" s="31"/>
      <c r="AS959" s="31"/>
      <c r="AT959" s="31"/>
      <c r="AU959" s="31"/>
      <c r="AV959" s="31"/>
      <c r="AW959" s="31"/>
      <c r="AX959" s="31"/>
      <c r="AY959" s="31"/>
      <c r="AZ959" s="31"/>
      <c r="BA959" s="31"/>
      <c r="BB959" s="31"/>
      <c r="BC959" s="31"/>
      <c r="BD959" s="31"/>
      <c r="BE959" s="31"/>
      <c r="BF959" s="31"/>
      <c r="BG959" s="31"/>
      <c r="BH959" s="31"/>
      <c r="BI959" s="31"/>
    </row>
    <row r="960" spans="38:61" x14ac:dyDescent="0.2">
      <c r="AL960" s="31"/>
      <c r="AM960" s="31"/>
      <c r="AN960" s="31"/>
      <c r="AO960" s="31"/>
      <c r="AP960" s="31"/>
      <c r="AQ960" s="31"/>
      <c r="AR960" s="31"/>
      <c r="AS960" s="31"/>
      <c r="AT960" s="31"/>
      <c r="AU960" s="31"/>
      <c r="AV960" s="31"/>
      <c r="AW960" s="31"/>
      <c r="AX960" s="31"/>
      <c r="AY960" s="31"/>
      <c r="AZ960" s="31"/>
      <c r="BA960" s="31"/>
      <c r="BB960" s="31"/>
      <c r="BC960" s="31"/>
      <c r="BD960" s="31"/>
      <c r="BE960" s="31"/>
      <c r="BF960" s="31"/>
      <c r="BG960" s="31"/>
      <c r="BH960" s="31"/>
      <c r="BI960" s="31"/>
    </row>
    <row r="961" spans="38:61" x14ac:dyDescent="0.2">
      <c r="AL961" s="31"/>
      <c r="AM961" s="31"/>
      <c r="AN961" s="31"/>
      <c r="AO961" s="31"/>
      <c r="AP961" s="31"/>
      <c r="AQ961" s="31"/>
      <c r="AR961" s="31"/>
      <c r="AS961" s="31"/>
      <c r="AT961" s="31"/>
      <c r="AU961" s="31"/>
      <c r="AV961" s="31"/>
      <c r="AW961" s="31"/>
      <c r="AX961" s="31"/>
      <c r="AY961" s="31"/>
      <c r="AZ961" s="31"/>
      <c r="BA961" s="31"/>
      <c r="BB961" s="31"/>
      <c r="BC961" s="31"/>
      <c r="BD961" s="31"/>
      <c r="BE961" s="31"/>
      <c r="BF961" s="31"/>
      <c r="BG961" s="31"/>
      <c r="BH961" s="31"/>
      <c r="BI961" s="31"/>
    </row>
    <row r="962" spans="38:61" x14ac:dyDescent="0.2">
      <c r="AL962" s="31"/>
      <c r="AM962" s="31"/>
      <c r="AN962" s="31"/>
      <c r="AO962" s="31"/>
      <c r="AP962" s="31"/>
      <c r="AQ962" s="31"/>
      <c r="AR962" s="31"/>
      <c r="AS962" s="31"/>
      <c r="AT962" s="31"/>
      <c r="AU962" s="31"/>
      <c r="AV962" s="31"/>
      <c r="AW962" s="31"/>
      <c r="AX962" s="31"/>
      <c r="AY962" s="31"/>
      <c r="AZ962" s="31"/>
      <c r="BA962" s="31"/>
      <c r="BB962" s="31"/>
      <c r="BC962" s="31"/>
      <c r="BD962" s="31"/>
      <c r="BE962" s="31"/>
      <c r="BF962" s="31"/>
      <c r="BG962" s="31"/>
      <c r="BH962" s="31"/>
      <c r="BI962" s="31"/>
    </row>
    <row r="963" spans="38:61" x14ac:dyDescent="0.2">
      <c r="AL963" s="31"/>
      <c r="AM963" s="31"/>
      <c r="AN963" s="31"/>
      <c r="AO963" s="31"/>
      <c r="AP963" s="31"/>
      <c r="AQ963" s="31"/>
      <c r="AR963" s="31"/>
      <c r="AS963" s="31"/>
      <c r="AT963" s="31"/>
      <c r="AU963" s="31"/>
      <c r="AV963" s="31"/>
      <c r="AW963" s="31"/>
      <c r="AX963" s="31"/>
      <c r="AY963" s="31"/>
      <c r="AZ963" s="31"/>
      <c r="BA963" s="31"/>
      <c r="BB963" s="31"/>
      <c r="BC963" s="31"/>
      <c r="BD963" s="31"/>
      <c r="BE963" s="31"/>
      <c r="BF963" s="31"/>
      <c r="BG963" s="31"/>
      <c r="BH963" s="31"/>
      <c r="BI963" s="31"/>
    </row>
    <row r="964" spans="38:61" x14ac:dyDescent="0.2">
      <c r="AL964" s="31"/>
      <c r="AM964" s="31"/>
      <c r="AN964" s="31"/>
      <c r="AO964" s="31"/>
      <c r="AP964" s="31"/>
      <c r="AQ964" s="31"/>
      <c r="AR964" s="31"/>
      <c r="AS964" s="31"/>
      <c r="AT964" s="31"/>
      <c r="AU964" s="31"/>
      <c r="AV964" s="31"/>
      <c r="AW964" s="31"/>
      <c r="AX964" s="31"/>
      <c r="AY964" s="31"/>
      <c r="AZ964" s="31"/>
      <c r="BA964" s="31"/>
      <c r="BB964" s="31"/>
      <c r="BC964" s="31"/>
      <c r="BD964" s="31"/>
      <c r="BE964" s="31"/>
      <c r="BF964" s="31"/>
      <c r="BG964" s="31"/>
      <c r="BH964" s="31"/>
      <c r="BI964" s="31"/>
    </row>
    <row r="965" spans="38:61" x14ac:dyDescent="0.2">
      <c r="AL965" s="31"/>
      <c r="AM965" s="31"/>
      <c r="AN965" s="31"/>
      <c r="AO965" s="31"/>
      <c r="AP965" s="31"/>
      <c r="AQ965" s="31"/>
      <c r="AR965" s="31"/>
      <c r="AS965" s="31"/>
      <c r="AT965" s="31"/>
      <c r="AU965" s="31"/>
      <c r="AV965" s="31"/>
      <c r="AW965" s="31"/>
      <c r="AX965" s="31"/>
      <c r="AY965" s="31"/>
      <c r="AZ965" s="31"/>
      <c r="BA965" s="31"/>
      <c r="BB965" s="31"/>
      <c r="BC965" s="31"/>
      <c r="BD965" s="31"/>
      <c r="BE965" s="31"/>
      <c r="BF965" s="31"/>
      <c r="BG965" s="31"/>
      <c r="BH965" s="31"/>
      <c r="BI965" s="31"/>
    </row>
    <row r="966" spans="38:61" x14ac:dyDescent="0.2">
      <c r="AL966" s="31"/>
      <c r="AM966" s="31"/>
      <c r="AN966" s="31"/>
      <c r="AO966" s="31"/>
      <c r="AP966" s="31"/>
      <c r="AQ966" s="31"/>
      <c r="AR966" s="31"/>
      <c r="AS966" s="31"/>
      <c r="AT966" s="31"/>
      <c r="AU966" s="31"/>
      <c r="AV966" s="31"/>
      <c r="AW966" s="31"/>
      <c r="AX966" s="31"/>
      <c r="AY966" s="31"/>
      <c r="AZ966" s="31"/>
      <c r="BA966" s="31"/>
      <c r="BB966" s="31"/>
      <c r="BC966" s="31"/>
      <c r="BD966" s="31"/>
      <c r="BE966" s="31"/>
      <c r="BF966" s="31"/>
      <c r="BG966" s="31"/>
      <c r="BH966" s="31"/>
      <c r="BI966" s="31"/>
    </row>
    <row r="967" spans="38:61" x14ac:dyDescent="0.2">
      <c r="AL967" s="31"/>
      <c r="AM967" s="31"/>
      <c r="AN967" s="31"/>
      <c r="AO967" s="31"/>
      <c r="AP967" s="31"/>
      <c r="AQ967" s="31"/>
      <c r="AR967" s="31"/>
      <c r="AS967" s="31"/>
      <c r="AT967" s="31"/>
      <c r="AU967" s="31"/>
      <c r="AV967" s="31"/>
      <c r="AW967" s="31"/>
      <c r="AX967" s="31"/>
      <c r="AY967" s="31"/>
      <c r="AZ967" s="31"/>
      <c r="BA967" s="31"/>
      <c r="BB967" s="31"/>
      <c r="BC967" s="31"/>
      <c r="BD967" s="31"/>
      <c r="BE967" s="31"/>
      <c r="BF967" s="31"/>
      <c r="BG967" s="31"/>
      <c r="BH967" s="31"/>
      <c r="BI967" s="31"/>
    </row>
    <row r="968" spans="38:61" x14ac:dyDescent="0.2">
      <c r="AL968" s="31"/>
      <c r="AM968" s="31"/>
      <c r="AN968" s="31"/>
      <c r="AO968" s="31"/>
      <c r="AP968" s="31"/>
      <c r="AQ968" s="31"/>
      <c r="AR968" s="31"/>
      <c r="AS968" s="31"/>
      <c r="AT968" s="31"/>
      <c r="AU968" s="31"/>
      <c r="AV968" s="31"/>
      <c r="AW968" s="31"/>
      <c r="AX968" s="31"/>
      <c r="AY968" s="31"/>
      <c r="AZ968" s="31"/>
      <c r="BA968" s="31"/>
      <c r="BB968" s="31"/>
      <c r="BC968" s="31"/>
      <c r="BD968" s="31"/>
      <c r="BE968" s="31"/>
      <c r="BF968" s="31"/>
      <c r="BG968" s="31"/>
      <c r="BH968" s="31"/>
      <c r="BI968" s="31"/>
    </row>
    <row r="969" spans="38:61" x14ac:dyDescent="0.2">
      <c r="AL969" s="31"/>
      <c r="AM969" s="31"/>
      <c r="AN969" s="31"/>
      <c r="AO969" s="31"/>
      <c r="AP969" s="31"/>
      <c r="AQ969" s="31"/>
      <c r="AR969" s="31"/>
      <c r="AS969" s="31"/>
      <c r="AT969" s="31"/>
      <c r="AU969" s="31"/>
      <c r="AV969" s="31"/>
      <c r="AW969" s="31"/>
      <c r="AX969" s="31"/>
      <c r="AY969" s="31"/>
      <c r="AZ969" s="31"/>
      <c r="BA969" s="31"/>
      <c r="BB969" s="31"/>
      <c r="BC969" s="31"/>
      <c r="BD969" s="31"/>
      <c r="BE969" s="31"/>
      <c r="BF969" s="31"/>
      <c r="BG969" s="31"/>
      <c r="BH969" s="31"/>
      <c r="BI969" s="31"/>
    </row>
    <row r="970" spans="38:61" x14ac:dyDescent="0.2">
      <c r="AL970" s="31"/>
      <c r="AM970" s="31"/>
      <c r="AN970" s="31"/>
      <c r="AO970" s="31"/>
      <c r="AP970" s="31"/>
      <c r="AQ970" s="31"/>
      <c r="AR970" s="31"/>
      <c r="AS970" s="31"/>
      <c r="AT970" s="31"/>
      <c r="AU970" s="31"/>
      <c r="AV970" s="31"/>
      <c r="AW970" s="31"/>
      <c r="AX970" s="31"/>
      <c r="AY970" s="31"/>
      <c r="AZ970" s="31"/>
      <c r="BA970" s="31"/>
      <c r="BB970" s="31"/>
      <c r="BC970" s="31"/>
      <c r="BD970" s="31"/>
      <c r="BE970" s="31"/>
      <c r="BF970" s="31"/>
      <c r="BG970" s="31"/>
      <c r="BH970" s="31"/>
      <c r="BI970" s="31"/>
    </row>
    <row r="971" spans="38:61" x14ac:dyDescent="0.2">
      <c r="AL971" s="31"/>
      <c r="AM971" s="31"/>
      <c r="AN971" s="31"/>
      <c r="AO971" s="31"/>
      <c r="AP971" s="31"/>
      <c r="AQ971" s="31"/>
      <c r="AR971" s="31"/>
      <c r="AS971" s="31"/>
      <c r="AT971" s="31"/>
      <c r="AU971" s="31"/>
      <c r="AV971" s="31"/>
      <c r="AW971" s="31"/>
      <c r="AX971" s="31"/>
      <c r="AY971" s="31"/>
      <c r="AZ971" s="31"/>
      <c r="BA971" s="31"/>
      <c r="BB971" s="31"/>
      <c r="BC971" s="31"/>
      <c r="BD971" s="31"/>
      <c r="BE971" s="31"/>
      <c r="BF971" s="31"/>
      <c r="BG971" s="31"/>
      <c r="BH971" s="31"/>
      <c r="BI971" s="31"/>
    </row>
    <row r="972" spans="38:61" x14ac:dyDescent="0.2">
      <c r="AL972" s="31"/>
      <c r="AM972" s="31"/>
      <c r="AN972" s="31"/>
      <c r="AO972" s="31"/>
      <c r="AP972" s="31"/>
      <c r="AQ972" s="31"/>
      <c r="AR972" s="31"/>
      <c r="AS972" s="31"/>
      <c r="AT972" s="31"/>
      <c r="AU972" s="31"/>
      <c r="AV972" s="31"/>
      <c r="AW972" s="31"/>
      <c r="AX972" s="31"/>
      <c r="AY972" s="31"/>
      <c r="AZ972" s="31"/>
      <c r="BA972" s="31"/>
      <c r="BB972" s="31"/>
      <c r="BC972" s="31"/>
      <c r="BD972" s="31"/>
      <c r="BE972" s="31"/>
      <c r="BF972" s="31"/>
      <c r="BG972" s="31"/>
      <c r="BH972" s="31"/>
      <c r="BI972" s="31"/>
    </row>
    <row r="973" spans="38:61" x14ac:dyDescent="0.2">
      <c r="AL973" s="31"/>
      <c r="AM973" s="31"/>
      <c r="AN973" s="31"/>
      <c r="AO973" s="31"/>
      <c r="AP973" s="31"/>
      <c r="AQ973" s="31"/>
      <c r="AR973" s="31"/>
      <c r="AS973" s="31"/>
      <c r="AT973" s="31"/>
      <c r="AU973" s="31"/>
      <c r="AV973" s="31"/>
      <c r="AW973" s="31"/>
      <c r="AX973" s="31"/>
      <c r="AY973" s="31"/>
      <c r="AZ973" s="31"/>
      <c r="BA973" s="31"/>
      <c r="BB973" s="31"/>
      <c r="BC973" s="31"/>
      <c r="BD973" s="31"/>
      <c r="BE973" s="31"/>
      <c r="BF973" s="31"/>
      <c r="BG973" s="31"/>
      <c r="BH973" s="31"/>
      <c r="BI973" s="31"/>
    </row>
    <row r="974" spans="38:61" x14ac:dyDescent="0.2">
      <c r="AL974" s="31"/>
      <c r="AM974" s="31"/>
      <c r="AN974" s="31"/>
      <c r="AO974" s="31"/>
      <c r="AP974" s="31"/>
      <c r="AQ974" s="31"/>
      <c r="AR974" s="31"/>
      <c r="AS974" s="31"/>
      <c r="AT974" s="31"/>
      <c r="AU974" s="31"/>
      <c r="AV974" s="31"/>
      <c r="AW974" s="31"/>
      <c r="AX974" s="31"/>
      <c r="AY974" s="31"/>
      <c r="AZ974" s="31"/>
      <c r="BA974" s="31"/>
      <c r="BB974" s="31"/>
      <c r="BC974" s="31"/>
      <c r="BD974" s="31"/>
      <c r="BE974" s="31"/>
      <c r="BF974" s="31"/>
      <c r="BG974" s="31"/>
      <c r="BH974" s="31"/>
      <c r="BI974" s="31"/>
    </row>
    <row r="975" spans="38:61" x14ac:dyDescent="0.2">
      <c r="AL975" s="31"/>
      <c r="AM975" s="31"/>
      <c r="AN975" s="31"/>
      <c r="AO975" s="31"/>
      <c r="AP975" s="31"/>
      <c r="AQ975" s="31"/>
      <c r="AR975" s="31"/>
      <c r="AS975" s="31"/>
      <c r="AT975" s="31"/>
      <c r="AU975" s="31"/>
      <c r="AV975" s="31"/>
      <c r="AW975" s="31"/>
      <c r="AX975" s="31"/>
      <c r="AY975" s="31"/>
      <c r="AZ975" s="31"/>
      <c r="BA975" s="31"/>
      <c r="BB975" s="31"/>
      <c r="BC975" s="31"/>
      <c r="BD975" s="31"/>
      <c r="BE975" s="31"/>
      <c r="BF975" s="31"/>
      <c r="BG975" s="31"/>
      <c r="BH975" s="31"/>
      <c r="BI975" s="31"/>
    </row>
    <row r="976" spans="38:61" x14ac:dyDescent="0.2">
      <c r="AL976" s="31"/>
      <c r="AM976" s="31"/>
      <c r="AN976" s="31"/>
      <c r="AO976" s="31"/>
      <c r="AP976" s="31"/>
      <c r="AQ976" s="31"/>
      <c r="AR976" s="31"/>
      <c r="AS976" s="31"/>
      <c r="AT976" s="31"/>
      <c r="AU976" s="31"/>
      <c r="AV976" s="31"/>
      <c r="AW976" s="31"/>
      <c r="AX976" s="31"/>
      <c r="AY976" s="31"/>
      <c r="AZ976" s="31"/>
      <c r="BA976" s="31"/>
      <c r="BB976" s="31"/>
      <c r="BC976" s="31"/>
      <c r="BD976" s="31"/>
      <c r="BE976" s="31"/>
      <c r="BF976" s="31"/>
      <c r="BG976" s="31"/>
      <c r="BH976" s="31"/>
      <c r="BI976" s="31"/>
    </row>
    <row r="977" spans="38:61" x14ac:dyDescent="0.2">
      <c r="AL977" s="31"/>
      <c r="AM977" s="31"/>
      <c r="AN977" s="31"/>
      <c r="AO977" s="31"/>
      <c r="AP977" s="31"/>
      <c r="AQ977" s="31"/>
      <c r="AR977" s="31"/>
      <c r="AS977" s="31"/>
      <c r="AT977" s="31"/>
      <c r="AU977" s="31"/>
      <c r="AV977" s="31"/>
      <c r="AW977" s="31"/>
      <c r="AX977" s="31"/>
      <c r="AY977" s="31"/>
      <c r="AZ977" s="31"/>
      <c r="BA977" s="31"/>
      <c r="BB977" s="31"/>
      <c r="BC977" s="31"/>
      <c r="BD977" s="31"/>
      <c r="BE977" s="31"/>
      <c r="BF977" s="31"/>
      <c r="BG977" s="31"/>
      <c r="BH977" s="31"/>
      <c r="BI977" s="31"/>
    </row>
    <row r="978" spans="38:61" x14ac:dyDescent="0.2">
      <c r="AL978" s="31"/>
      <c r="AM978" s="31"/>
      <c r="AN978" s="31"/>
      <c r="AO978" s="31"/>
      <c r="AP978" s="31"/>
      <c r="AQ978" s="31"/>
      <c r="AR978" s="31"/>
      <c r="AS978" s="31"/>
      <c r="AT978" s="31"/>
      <c r="AU978" s="31"/>
      <c r="AV978" s="31"/>
      <c r="AW978" s="31"/>
      <c r="AX978" s="31"/>
      <c r="AY978" s="31"/>
      <c r="AZ978" s="31"/>
      <c r="BA978" s="31"/>
      <c r="BB978" s="31"/>
      <c r="BC978" s="31"/>
      <c r="BD978" s="31"/>
      <c r="BE978" s="31"/>
      <c r="BF978" s="31"/>
      <c r="BG978" s="31"/>
      <c r="BH978" s="31"/>
      <c r="BI978" s="31"/>
    </row>
    <row r="979" spans="38:61" x14ac:dyDescent="0.2">
      <c r="AL979" s="31"/>
      <c r="AM979" s="31"/>
      <c r="AN979" s="31"/>
      <c r="AO979" s="31"/>
      <c r="AP979" s="31"/>
      <c r="AQ979" s="31"/>
      <c r="AR979" s="31"/>
      <c r="AS979" s="31"/>
      <c r="AT979" s="31"/>
      <c r="AU979" s="31"/>
      <c r="AV979" s="31"/>
      <c r="AW979" s="31"/>
      <c r="AX979" s="31"/>
      <c r="AY979" s="31"/>
      <c r="AZ979" s="31"/>
      <c r="BA979" s="31"/>
      <c r="BB979" s="31"/>
      <c r="BC979" s="31"/>
      <c r="BD979" s="31"/>
      <c r="BE979" s="31"/>
      <c r="BF979" s="31"/>
      <c r="BG979" s="31"/>
      <c r="BH979" s="31"/>
      <c r="BI979" s="31"/>
    </row>
    <row r="980" spans="38:61" x14ac:dyDescent="0.2">
      <c r="AL980" s="31"/>
      <c r="AM980" s="31"/>
      <c r="AN980" s="31"/>
      <c r="AO980" s="31"/>
      <c r="AP980" s="31"/>
      <c r="AQ980" s="31"/>
      <c r="AR980" s="31"/>
      <c r="AS980" s="31"/>
      <c r="AT980" s="31"/>
      <c r="AU980" s="31"/>
      <c r="AV980" s="31"/>
      <c r="AW980" s="31"/>
      <c r="AX980" s="31"/>
      <c r="AY980" s="31"/>
      <c r="AZ980" s="31"/>
      <c r="BA980" s="31"/>
      <c r="BB980" s="31"/>
      <c r="BC980" s="31"/>
      <c r="BD980" s="31"/>
      <c r="BE980" s="31"/>
      <c r="BF980" s="31"/>
      <c r="BG980" s="31"/>
      <c r="BH980" s="31"/>
      <c r="BI980" s="31"/>
    </row>
    <row r="981" spans="38:61" x14ac:dyDescent="0.2">
      <c r="AL981" s="31"/>
      <c r="AM981" s="31"/>
      <c r="AN981" s="31"/>
      <c r="AO981" s="31"/>
      <c r="AP981" s="31"/>
      <c r="AQ981" s="31"/>
      <c r="AR981" s="31"/>
      <c r="AS981" s="31"/>
      <c r="AT981" s="31"/>
      <c r="AU981" s="31"/>
      <c r="AV981" s="31"/>
      <c r="AW981" s="31"/>
      <c r="AX981" s="31"/>
      <c r="AY981" s="31"/>
      <c r="AZ981" s="31"/>
      <c r="BA981" s="31"/>
      <c r="BB981" s="31"/>
      <c r="BC981" s="31"/>
      <c r="BD981" s="31"/>
      <c r="BE981" s="31"/>
      <c r="BF981" s="31"/>
      <c r="BG981" s="31"/>
      <c r="BH981" s="31"/>
      <c r="BI981" s="31"/>
    </row>
    <row r="982" spans="38:61" x14ac:dyDescent="0.2">
      <c r="AL982" s="31"/>
      <c r="AM982" s="31"/>
      <c r="AN982" s="31"/>
      <c r="AO982" s="31"/>
      <c r="AP982" s="31"/>
      <c r="AQ982" s="31"/>
      <c r="AR982" s="31"/>
      <c r="AS982" s="31"/>
      <c r="AT982" s="31"/>
      <c r="AU982" s="31"/>
      <c r="AV982" s="31"/>
      <c r="AW982" s="31"/>
      <c r="AX982" s="31"/>
      <c r="AY982" s="31"/>
      <c r="AZ982" s="31"/>
      <c r="BA982" s="31"/>
      <c r="BB982" s="31"/>
      <c r="BC982" s="31"/>
      <c r="BD982" s="31"/>
      <c r="BE982" s="31"/>
      <c r="BF982" s="31"/>
      <c r="BG982" s="31"/>
      <c r="BH982" s="31"/>
      <c r="BI982" s="31"/>
    </row>
    <row r="983" spans="38:61" x14ac:dyDescent="0.2">
      <c r="AL983" s="31"/>
      <c r="AM983" s="31"/>
      <c r="AN983" s="31"/>
      <c r="AO983" s="31"/>
      <c r="AP983" s="31"/>
      <c r="AQ983" s="31"/>
      <c r="AR983" s="31"/>
      <c r="AS983" s="31"/>
      <c r="AT983" s="31"/>
      <c r="AU983" s="31"/>
      <c r="AV983" s="31"/>
      <c r="AW983" s="31"/>
      <c r="AX983" s="31"/>
      <c r="AY983" s="31"/>
      <c r="AZ983" s="31"/>
      <c r="BA983" s="31"/>
      <c r="BB983" s="31"/>
      <c r="BC983" s="31"/>
      <c r="BD983" s="31"/>
      <c r="BE983" s="31"/>
      <c r="BF983" s="31"/>
      <c r="BG983" s="31"/>
      <c r="BH983" s="31"/>
      <c r="BI983" s="31"/>
    </row>
    <row r="984" spans="38:61" x14ac:dyDescent="0.2">
      <c r="AL984" s="31"/>
      <c r="AM984" s="31"/>
      <c r="AN984" s="31"/>
      <c r="AO984" s="31"/>
      <c r="AP984" s="31"/>
      <c r="AQ984" s="31"/>
      <c r="AR984" s="31"/>
      <c r="AS984" s="31"/>
      <c r="AT984" s="31"/>
      <c r="AU984" s="31"/>
      <c r="AV984" s="31"/>
      <c r="AW984" s="31"/>
      <c r="AX984" s="31"/>
      <c r="AY984" s="31"/>
      <c r="AZ984" s="31"/>
      <c r="BA984" s="31"/>
      <c r="BB984" s="31"/>
      <c r="BC984" s="31"/>
      <c r="BD984" s="31"/>
      <c r="BE984" s="31"/>
      <c r="BF984" s="31"/>
      <c r="BG984" s="31"/>
      <c r="BH984" s="31"/>
      <c r="BI984" s="31"/>
    </row>
    <row r="985" spans="38:61" x14ac:dyDescent="0.2">
      <c r="AL985" s="31"/>
      <c r="AM985" s="31"/>
      <c r="AN985" s="31"/>
      <c r="AO985" s="31"/>
      <c r="AP985" s="31"/>
      <c r="AQ985" s="31"/>
      <c r="AR985" s="31"/>
      <c r="AS985" s="31"/>
      <c r="AT985" s="31"/>
      <c r="AU985" s="31"/>
      <c r="AV985" s="31"/>
      <c r="AW985" s="31"/>
      <c r="AX985" s="31"/>
      <c r="AY985" s="31"/>
      <c r="AZ985" s="31"/>
      <c r="BA985" s="31"/>
      <c r="BB985" s="31"/>
      <c r="BC985" s="31"/>
      <c r="BD985" s="31"/>
      <c r="BE985" s="31"/>
      <c r="BF985" s="31"/>
      <c r="BG985" s="31"/>
      <c r="BH985" s="31"/>
      <c r="BI985" s="31"/>
    </row>
    <row r="986" spans="38:61" x14ac:dyDescent="0.2">
      <c r="AL986" s="31"/>
      <c r="AM986" s="31"/>
      <c r="AN986" s="31"/>
      <c r="AO986" s="31"/>
      <c r="AP986" s="31"/>
      <c r="AQ986" s="31"/>
      <c r="AR986" s="31"/>
      <c r="AS986" s="31"/>
      <c r="AT986" s="31"/>
      <c r="AU986" s="31"/>
      <c r="AV986" s="31"/>
      <c r="AW986" s="31"/>
      <c r="AX986" s="31"/>
      <c r="AY986" s="31"/>
      <c r="AZ986" s="31"/>
      <c r="BA986" s="31"/>
      <c r="BB986" s="31"/>
      <c r="BC986" s="31"/>
      <c r="BD986" s="31"/>
      <c r="BE986" s="31"/>
      <c r="BF986" s="31"/>
      <c r="BG986" s="31"/>
      <c r="BH986" s="31"/>
      <c r="BI986" s="31"/>
    </row>
    <row r="987" spans="38:61" x14ac:dyDescent="0.2">
      <c r="AL987" s="31"/>
      <c r="AM987" s="31"/>
      <c r="AN987" s="31"/>
      <c r="AO987" s="31"/>
      <c r="AP987" s="31"/>
      <c r="AQ987" s="31"/>
      <c r="AR987" s="31"/>
      <c r="AS987" s="31"/>
      <c r="AT987" s="31"/>
      <c r="AU987" s="31"/>
      <c r="AV987" s="31"/>
      <c r="AW987" s="31"/>
      <c r="AX987" s="31"/>
      <c r="AY987" s="31"/>
      <c r="AZ987" s="31"/>
      <c r="BA987" s="31"/>
      <c r="BB987" s="31"/>
      <c r="BC987" s="31"/>
      <c r="BD987" s="31"/>
      <c r="BE987" s="31"/>
      <c r="BF987" s="31"/>
      <c r="BG987" s="31"/>
      <c r="BH987" s="31"/>
      <c r="BI987" s="31"/>
    </row>
    <row r="988" spans="38:61" x14ac:dyDescent="0.2">
      <c r="AL988" s="31"/>
      <c r="AM988" s="31"/>
      <c r="AN988" s="31"/>
      <c r="AO988" s="31"/>
      <c r="AP988" s="31"/>
      <c r="AQ988" s="31"/>
      <c r="AR988" s="31"/>
      <c r="AS988" s="31"/>
      <c r="AT988" s="31"/>
      <c r="AU988" s="31"/>
      <c r="AV988" s="31"/>
      <c r="AW988" s="31"/>
      <c r="AX988" s="31"/>
      <c r="AY988" s="31"/>
      <c r="AZ988" s="31"/>
      <c r="BA988" s="31"/>
      <c r="BB988" s="31"/>
      <c r="BC988" s="31"/>
      <c r="BD988" s="31"/>
      <c r="BE988" s="31"/>
      <c r="BF988" s="31"/>
      <c r="BG988" s="31"/>
      <c r="BH988" s="31"/>
      <c r="BI988" s="31"/>
    </row>
    <row r="989" spans="38:61" x14ac:dyDescent="0.2">
      <c r="AL989" s="31"/>
      <c r="AM989" s="31"/>
      <c r="AN989" s="31"/>
      <c r="AO989" s="31"/>
      <c r="AP989" s="31"/>
      <c r="AQ989" s="31"/>
      <c r="AR989" s="31"/>
      <c r="AS989" s="31"/>
      <c r="AT989" s="31"/>
      <c r="AU989" s="31"/>
      <c r="AV989" s="31"/>
      <c r="AW989" s="31"/>
      <c r="AX989" s="31"/>
      <c r="AY989" s="31"/>
      <c r="AZ989" s="31"/>
      <c r="BA989" s="31"/>
      <c r="BB989" s="31"/>
      <c r="BC989" s="31"/>
      <c r="BD989" s="31"/>
      <c r="BE989" s="31"/>
      <c r="BF989" s="31"/>
      <c r="BG989" s="31"/>
      <c r="BH989" s="31"/>
      <c r="BI989" s="31"/>
    </row>
    <row r="990" spans="38:61" x14ac:dyDescent="0.2">
      <c r="AL990" s="31"/>
      <c r="AM990" s="31"/>
      <c r="AN990" s="31"/>
      <c r="AO990" s="31"/>
      <c r="AP990" s="31"/>
      <c r="AQ990" s="31"/>
      <c r="AR990" s="31"/>
      <c r="AS990" s="31"/>
      <c r="AT990" s="31"/>
      <c r="AU990" s="31"/>
      <c r="AV990" s="31"/>
      <c r="AW990" s="31"/>
      <c r="AX990" s="31"/>
      <c r="AY990" s="31"/>
      <c r="AZ990" s="31"/>
      <c r="BA990" s="31"/>
      <c r="BB990" s="31"/>
      <c r="BC990" s="31"/>
      <c r="BD990" s="31"/>
      <c r="BE990" s="31"/>
      <c r="BF990" s="31"/>
      <c r="BG990" s="31"/>
      <c r="BH990" s="31"/>
      <c r="BI990" s="31"/>
    </row>
    <row r="991" spans="38:61" x14ac:dyDescent="0.2">
      <c r="AL991" s="31"/>
      <c r="AM991" s="31"/>
      <c r="AN991" s="31"/>
      <c r="AO991" s="31"/>
      <c r="AP991" s="31"/>
      <c r="AQ991" s="31"/>
      <c r="AR991" s="31"/>
      <c r="AS991" s="31"/>
      <c r="AT991" s="31"/>
      <c r="AU991" s="31"/>
      <c r="AV991" s="31"/>
      <c r="AW991" s="31"/>
      <c r="AX991" s="31"/>
      <c r="AY991" s="31"/>
      <c r="AZ991" s="31"/>
      <c r="BA991" s="31"/>
      <c r="BB991" s="31"/>
      <c r="BC991" s="31"/>
      <c r="BD991" s="31"/>
      <c r="BE991" s="31"/>
      <c r="BF991" s="31"/>
      <c r="BG991" s="31"/>
      <c r="BH991" s="31"/>
      <c r="BI991" s="31"/>
    </row>
    <row r="992" spans="38:61" x14ac:dyDescent="0.2">
      <c r="AL992" s="31"/>
      <c r="AM992" s="31"/>
      <c r="AN992" s="31"/>
      <c r="AO992" s="31"/>
      <c r="AP992" s="31"/>
      <c r="AQ992" s="31"/>
      <c r="AR992" s="31"/>
      <c r="AS992" s="31"/>
      <c r="AT992" s="31"/>
      <c r="AU992" s="31"/>
      <c r="AV992" s="31"/>
      <c r="AW992" s="31"/>
      <c r="AX992" s="31"/>
      <c r="AY992" s="31"/>
      <c r="AZ992" s="31"/>
      <c r="BA992" s="31"/>
      <c r="BB992" s="31"/>
      <c r="BC992" s="31"/>
      <c r="BD992" s="31"/>
      <c r="BE992" s="31"/>
      <c r="BF992" s="31"/>
      <c r="BG992" s="31"/>
      <c r="BH992" s="31"/>
      <c r="BI992" s="31"/>
    </row>
    <row r="993" spans="38:61" x14ac:dyDescent="0.2">
      <c r="AL993" s="31"/>
      <c r="AM993" s="31"/>
      <c r="AN993" s="31"/>
      <c r="AO993" s="31"/>
      <c r="AP993" s="31"/>
      <c r="AQ993" s="31"/>
      <c r="AR993" s="31"/>
      <c r="AS993" s="31"/>
      <c r="AT993" s="31"/>
      <c r="AU993" s="31"/>
      <c r="AV993" s="31"/>
      <c r="AW993" s="31"/>
      <c r="AX993" s="31"/>
      <c r="AY993" s="31"/>
      <c r="AZ993" s="31"/>
      <c r="BA993" s="31"/>
      <c r="BB993" s="31"/>
      <c r="BC993" s="31"/>
      <c r="BD993" s="31"/>
      <c r="BE993" s="31"/>
      <c r="BF993" s="31"/>
      <c r="BG993" s="31"/>
      <c r="BH993" s="31"/>
      <c r="BI993" s="31"/>
    </row>
    <row r="994" spans="38:61" x14ac:dyDescent="0.2">
      <c r="AL994" s="31"/>
      <c r="AM994" s="31"/>
      <c r="AN994" s="31"/>
      <c r="AO994" s="31"/>
      <c r="AP994" s="31"/>
      <c r="AQ994" s="31"/>
      <c r="AR994" s="31"/>
      <c r="AS994" s="31"/>
      <c r="AT994" s="31"/>
      <c r="AU994" s="31"/>
      <c r="AV994" s="31"/>
      <c r="AW994" s="31"/>
      <c r="AX994" s="31"/>
      <c r="AY994" s="31"/>
      <c r="AZ994" s="31"/>
      <c r="BA994" s="31"/>
      <c r="BB994" s="31"/>
      <c r="BC994" s="31"/>
      <c r="BD994" s="31"/>
      <c r="BE994" s="31"/>
      <c r="BF994" s="31"/>
      <c r="BG994" s="31"/>
      <c r="BH994" s="31"/>
      <c r="BI994" s="31"/>
    </row>
    <row r="995" spans="38:61" x14ac:dyDescent="0.2">
      <c r="AL995" s="31"/>
      <c r="AM995" s="31"/>
      <c r="AN995" s="31"/>
      <c r="AO995" s="31"/>
      <c r="AP995" s="31"/>
      <c r="AQ995" s="31"/>
      <c r="AR995" s="31"/>
      <c r="AS995" s="31"/>
      <c r="AT995" s="31"/>
      <c r="AU995" s="31"/>
      <c r="AV995" s="31"/>
      <c r="AW995" s="31"/>
      <c r="AX995" s="31"/>
      <c r="AY995" s="31"/>
      <c r="AZ995" s="31"/>
      <c r="BA995" s="31"/>
      <c r="BB995" s="31"/>
      <c r="BC995" s="31"/>
      <c r="BD995" s="31"/>
      <c r="BE995" s="31"/>
      <c r="BF995" s="31"/>
      <c r="BG995" s="31"/>
      <c r="BH995" s="31"/>
      <c r="BI995" s="31"/>
    </row>
    <row r="996" spans="38:61" x14ac:dyDescent="0.2">
      <c r="AL996" s="31"/>
      <c r="AM996" s="31"/>
      <c r="AN996" s="31"/>
      <c r="AO996" s="31"/>
      <c r="AP996" s="31"/>
      <c r="AQ996" s="31"/>
      <c r="AR996" s="31"/>
      <c r="AS996" s="31"/>
      <c r="AT996" s="31"/>
      <c r="AU996" s="31"/>
      <c r="AV996" s="31"/>
      <c r="AW996" s="31"/>
      <c r="AX996" s="31"/>
      <c r="AY996" s="31"/>
      <c r="AZ996" s="31"/>
      <c r="BA996" s="31"/>
      <c r="BB996" s="31"/>
      <c r="BC996" s="31"/>
      <c r="BD996" s="31"/>
      <c r="BE996" s="31"/>
      <c r="BF996" s="31"/>
      <c r="BG996" s="31"/>
      <c r="BH996" s="31"/>
      <c r="BI996" s="31"/>
    </row>
    <row r="997" spans="38:61" x14ac:dyDescent="0.2">
      <c r="AL997" s="31"/>
      <c r="AM997" s="31"/>
      <c r="AN997" s="31"/>
      <c r="AO997" s="31"/>
      <c r="AP997" s="31"/>
      <c r="AQ997" s="31"/>
      <c r="AR997" s="31"/>
      <c r="AS997" s="31"/>
      <c r="AT997" s="31"/>
      <c r="AU997" s="31"/>
      <c r="AV997" s="31"/>
      <c r="AW997" s="31"/>
      <c r="AX997" s="31"/>
      <c r="AY997" s="31"/>
      <c r="AZ997" s="31"/>
      <c r="BA997" s="31"/>
      <c r="BB997" s="31"/>
      <c r="BC997" s="31"/>
      <c r="BD997" s="31"/>
      <c r="BE997" s="31"/>
      <c r="BF997" s="31"/>
      <c r="BG997" s="31"/>
      <c r="BH997" s="31"/>
      <c r="BI997" s="31"/>
    </row>
    <row r="998" spans="38:61" x14ac:dyDescent="0.2">
      <c r="AL998" s="31"/>
      <c r="AM998" s="31"/>
      <c r="AN998" s="31"/>
      <c r="AO998" s="31"/>
      <c r="AP998" s="31"/>
      <c r="AQ998" s="31"/>
      <c r="AR998" s="31"/>
      <c r="AS998" s="31"/>
      <c r="AT998" s="31"/>
      <c r="AU998" s="31"/>
      <c r="AV998" s="31"/>
      <c r="AW998" s="31"/>
      <c r="AX998" s="31"/>
      <c r="AY998" s="31"/>
      <c r="AZ998" s="31"/>
      <c r="BA998" s="31"/>
      <c r="BB998" s="31"/>
      <c r="BC998" s="31"/>
      <c r="BD998" s="31"/>
      <c r="BE998" s="31"/>
      <c r="BF998" s="31"/>
      <c r="BG998" s="31"/>
      <c r="BH998" s="31"/>
      <c r="BI998" s="31"/>
    </row>
    <row r="999" spans="38:61" x14ac:dyDescent="0.2">
      <c r="AL999" s="31"/>
      <c r="AM999" s="31"/>
      <c r="AN999" s="31"/>
      <c r="AO999" s="31"/>
      <c r="AP999" s="31"/>
      <c r="AQ999" s="31"/>
      <c r="AR999" s="31"/>
      <c r="AS999" s="31"/>
      <c r="AT999" s="31"/>
      <c r="AU999" s="31"/>
      <c r="AV999" s="31"/>
      <c r="AW999" s="31"/>
      <c r="AX999" s="31"/>
      <c r="AY999" s="31"/>
      <c r="AZ999" s="31"/>
      <c r="BA999" s="31"/>
      <c r="BB999" s="31"/>
      <c r="BC999" s="31"/>
      <c r="BD999" s="31"/>
      <c r="BE999" s="31"/>
      <c r="BF999" s="31"/>
      <c r="BG999" s="31"/>
      <c r="BH999" s="31"/>
      <c r="BI999" s="31"/>
    </row>
    <row r="1000" spans="38:61" x14ac:dyDescent="0.2">
      <c r="AL1000" s="31"/>
      <c r="AM1000" s="31"/>
      <c r="AN1000" s="31"/>
      <c r="AO1000" s="31"/>
      <c r="AP1000" s="31"/>
      <c r="AQ1000" s="31"/>
      <c r="AR1000" s="31"/>
      <c r="AS1000" s="31"/>
      <c r="AT1000" s="31"/>
      <c r="AU1000" s="31"/>
      <c r="AV1000" s="31"/>
      <c r="AW1000" s="31"/>
      <c r="AX1000" s="31"/>
      <c r="AY1000" s="31"/>
      <c r="AZ1000" s="31"/>
      <c r="BA1000" s="31"/>
      <c r="BB1000" s="31"/>
      <c r="BC1000" s="31"/>
      <c r="BD1000" s="31"/>
      <c r="BE1000" s="31"/>
      <c r="BF1000" s="31"/>
      <c r="BG1000" s="31"/>
      <c r="BH1000" s="31"/>
      <c r="BI1000" s="31"/>
    </row>
    <row r="1001" spans="38:61" x14ac:dyDescent="0.2">
      <c r="AL1001" s="31"/>
      <c r="AM1001" s="31"/>
      <c r="AN1001" s="31"/>
      <c r="AO1001" s="31"/>
      <c r="AP1001" s="31"/>
      <c r="AQ1001" s="31"/>
      <c r="AR1001" s="31"/>
      <c r="AS1001" s="31"/>
      <c r="AT1001" s="31"/>
      <c r="AU1001" s="31"/>
      <c r="AV1001" s="31"/>
      <c r="AW1001" s="31"/>
      <c r="AX1001" s="31"/>
      <c r="AY1001" s="31"/>
      <c r="AZ1001" s="31"/>
      <c r="BA1001" s="31"/>
      <c r="BB1001" s="31"/>
      <c r="BC1001" s="31"/>
      <c r="BD1001" s="31"/>
      <c r="BE1001" s="31"/>
      <c r="BF1001" s="31"/>
      <c r="BG1001" s="31"/>
      <c r="BH1001" s="31"/>
      <c r="BI1001" s="31"/>
    </row>
    <row r="1002" spans="38:61" x14ac:dyDescent="0.2">
      <c r="AL1002" s="31"/>
      <c r="AM1002" s="31"/>
      <c r="AN1002" s="31"/>
      <c r="AO1002" s="31"/>
      <c r="AP1002" s="31"/>
      <c r="AQ1002" s="31"/>
      <c r="AR1002" s="31"/>
      <c r="AS1002" s="31"/>
      <c r="AT1002" s="31"/>
      <c r="AU1002" s="31"/>
      <c r="AV1002" s="31"/>
      <c r="AW1002" s="31"/>
      <c r="AX1002" s="31"/>
      <c r="AY1002" s="31"/>
      <c r="AZ1002" s="31"/>
      <c r="BA1002" s="31"/>
      <c r="BB1002" s="31"/>
      <c r="BC1002" s="31"/>
      <c r="BD1002" s="31"/>
      <c r="BE1002" s="31"/>
      <c r="BF1002" s="31"/>
      <c r="BG1002" s="31"/>
      <c r="BH1002" s="31"/>
      <c r="BI1002" s="31"/>
    </row>
    <row r="1003" spans="38:61" x14ac:dyDescent="0.2">
      <c r="AL1003" s="31"/>
      <c r="AM1003" s="31"/>
      <c r="AN1003" s="31"/>
      <c r="AO1003" s="31"/>
      <c r="AP1003" s="31"/>
      <c r="AQ1003" s="31"/>
      <c r="AR1003" s="31"/>
      <c r="AS1003" s="31"/>
      <c r="AT1003" s="31"/>
      <c r="AU1003" s="31"/>
      <c r="AV1003" s="31"/>
      <c r="AW1003" s="31"/>
      <c r="AX1003" s="31"/>
      <c r="AY1003" s="31"/>
      <c r="AZ1003" s="31"/>
      <c r="BA1003" s="31"/>
      <c r="BB1003" s="31"/>
      <c r="BC1003" s="31"/>
      <c r="BD1003" s="31"/>
      <c r="BE1003" s="31"/>
      <c r="BF1003" s="31"/>
      <c r="BG1003" s="31"/>
      <c r="BH1003" s="31"/>
      <c r="BI1003" s="31"/>
    </row>
    <row r="1004" spans="38:61" x14ac:dyDescent="0.2">
      <c r="AL1004" s="31"/>
      <c r="AM1004" s="31"/>
      <c r="AN1004" s="31"/>
      <c r="AO1004" s="31"/>
      <c r="AP1004" s="31"/>
      <c r="AQ1004" s="31"/>
      <c r="AR1004" s="31"/>
      <c r="AS1004" s="31"/>
      <c r="AT1004" s="31"/>
      <c r="AU1004" s="31"/>
      <c r="AV1004" s="31"/>
      <c r="AW1004" s="31"/>
      <c r="AX1004" s="31"/>
      <c r="AY1004" s="31"/>
      <c r="AZ1004" s="31"/>
      <c r="BA1004" s="31"/>
      <c r="BB1004" s="31"/>
      <c r="BC1004" s="31"/>
      <c r="BD1004" s="31"/>
      <c r="BE1004" s="31"/>
      <c r="BF1004" s="31"/>
      <c r="BG1004" s="31"/>
      <c r="BH1004" s="31"/>
      <c r="BI1004" s="31"/>
    </row>
    <row r="1005" spans="38:61" x14ac:dyDescent="0.2">
      <c r="AL1005" s="31"/>
      <c r="AM1005" s="31"/>
      <c r="AN1005" s="31"/>
      <c r="AO1005" s="31"/>
      <c r="AP1005" s="31"/>
      <c r="AQ1005" s="31"/>
      <c r="AR1005" s="31"/>
      <c r="AS1005" s="31"/>
      <c r="AT1005" s="31"/>
      <c r="AU1005" s="31"/>
      <c r="AV1005" s="31"/>
      <c r="AW1005" s="31"/>
      <c r="AX1005" s="31"/>
      <c r="AY1005" s="31"/>
      <c r="AZ1005" s="31"/>
      <c r="BA1005" s="31"/>
      <c r="BB1005" s="31"/>
      <c r="BC1005" s="31"/>
      <c r="BD1005" s="31"/>
      <c r="BE1005" s="31"/>
      <c r="BF1005" s="31"/>
      <c r="BG1005" s="31"/>
      <c r="BH1005" s="31"/>
      <c r="BI1005" s="31"/>
    </row>
    <row r="1006" spans="38:61" x14ac:dyDescent="0.2">
      <c r="AL1006" s="31"/>
      <c r="AM1006" s="31"/>
      <c r="AN1006" s="31"/>
      <c r="AO1006" s="31"/>
      <c r="AP1006" s="31"/>
      <c r="AQ1006" s="31"/>
      <c r="AR1006" s="31"/>
      <c r="AS1006" s="31"/>
      <c r="AT1006" s="31"/>
      <c r="AU1006" s="31"/>
      <c r="AV1006" s="31"/>
      <c r="AW1006" s="31"/>
      <c r="AX1006" s="31"/>
      <c r="AY1006" s="31"/>
      <c r="AZ1006" s="31"/>
      <c r="BA1006" s="31"/>
      <c r="BB1006" s="31"/>
      <c r="BC1006" s="31"/>
      <c r="BD1006" s="31"/>
      <c r="BE1006" s="31"/>
      <c r="BF1006" s="31"/>
      <c r="BG1006" s="31"/>
      <c r="BH1006" s="31"/>
      <c r="BI1006" s="31"/>
    </row>
    <row r="1007" spans="38:61" x14ac:dyDescent="0.2">
      <c r="AL1007" s="31"/>
      <c r="AM1007" s="31"/>
      <c r="AN1007" s="31"/>
      <c r="AO1007" s="31"/>
      <c r="AP1007" s="31"/>
      <c r="AQ1007" s="31"/>
      <c r="AR1007" s="31"/>
      <c r="AS1007" s="31"/>
      <c r="AT1007" s="31"/>
      <c r="AU1007" s="31"/>
      <c r="AV1007" s="31"/>
      <c r="AW1007" s="31"/>
      <c r="AX1007" s="31"/>
      <c r="AY1007" s="31"/>
      <c r="AZ1007" s="31"/>
      <c r="BA1007" s="31"/>
      <c r="BB1007" s="31"/>
      <c r="BC1007" s="31"/>
      <c r="BD1007" s="31"/>
      <c r="BE1007" s="31"/>
      <c r="BF1007" s="31"/>
      <c r="BG1007" s="31"/>
      <c r="BH1007" s="31"/>
      <c r="BI1007" s="31"/>
    </row>
    <row r="1008" spans="38:61" x14ac:dyDescent="0.2">
      <c r="AL1008" s="31"/>
      <c r="AM1008" s="31"/>
      <c r="AN1008" s="31"/>
      <c r="AO1008" s="31"/>
      <c r="AP1008" s="31"/>
      <c r="AQ1008" s="31"/>
      <c r="AR1008" s="31"/>
      <c r="AS1008" s="31"/>
      <c r="AT1008" s="31"/>
      <c r="AU1008" s="31"/>
      <c r="AV1008" s="31"/>
      <c r="AW1008" s="31"/>
      <c r="AX1008" s="31"/>
      <c r="AY1008" s="31"/>
      <c r="AZ1008" s="31"/>
      <c r="BA1008" s="31"/>
      <c r="BB1008" s="31"/>
      <c r="BC1008" s="31"/>
      <c r="BD1008" s="31"/>
      <c r="BE1008" s="31"/>
      <c r="BF1008" s="31"/>
      <c r="BG1008" s="31"/>
      <c r="BH1008" s="31"/>
      <c r="BI1008" s="31"/>
    </row>
    <row r="1009" spans="38:61" x14ac:dyDescent="0.2">
      <c r="AL1009" s="31"/>
      <c r="AM1009" s="31"/>
      <c r="AN1009" s="31"/>
      <c r="AO1009" s="31"/>
      <c r="AP1009" s="31"/>
      <c r="AQ1009" s="31"/>
      <c r="AR1009" s="31"/>
      <c r="AS1009" s="31"/>
      <c r="AT1009" s="31"/>
      <c r="AU1009" s="31"/>
      <c r="AV1009" s="31"/>
      <c r="AW1009" s="31"/>
      <c r="AX1009" s="31"/>
      <c r="AY1009" s="31"/>
      <c r="AZ1009" s="31"/>
      <c r="BA1009" s="31"/>
      <c r="BB1009" s="31"/>
      <c r="BC1009" s="31"/>
      <c r="BD1009" s="31"/>
      <c r="BE1009" s="31"/>
      <c r="BF1009" s="31"/>
      <c r="BG1009" s="31"/>
      <c r="BH1009" s="31"/>
      <c r="BI1009" s="31"/>
    </row>
    <row r="1010" spans="38:61" x14ac:dyDescent="0.2">
      <c r="AL1010" s="31"/>
      <c r="AM1010" s="31"/>
      <c r="AN1010" s="31"/>
      <c r="AO1010" s="31"/>
      <c r="AP1010" s="31"/>
      <c r="AQ1010" s="31"/>
      <c r="AR1010" s="31"/>
      <c r="AS1010" s="31"/>
      <c r="AT1010" s="31"/>
      <c r="AU1010" s="31"/>
      <c r="AV1010" s="31"/>
      <c r="AW1010" s="31"/>
      <c r="AX1010" s="31"/>
      <c r="AY1010" s="31"/>
      <c r="AZ1010" s="31"/>
      <c r="BA1010" s="31"/>
      <c r="BB1010" s="31"/>
      <c r="BC1010" s="31"/>
      <c r="BD1010" s="31"/>
      <c r="BE1010" s="31"/>
      <c r="BF1010" s="31"/>
      <c r="BG1010" s="31"/>
      <c r="BH1010" s="31"/>
      <c r="BI1010" s="31"/>
    </row>
    <row r="1011" spans="38:61" x14ac:dyDescent="0.2">
      <c r="AL1011" s="31"/>
      <c r="AM1011" s="31"/>
      <c r="AN1011" s="31"/>
      <c r="AO1011" s="31"/>
      <c r="AP1011" s="31"/>
      <c r="AQ1011" s="31"/>
      <c r="AR1011" s="31"/>
      <c r="AS1011" s="31"/>
      <c r="AT1011" s="31"/>
      <c r="AU1011" s="31"/>
      <c r="AV1011" s="31"/>
      <c r="AW1011" s="31"/>
      <c r="AX1011" s="31"/>
      <c r="AY1011" s="31"/>
      <c r="AZ1011" s="31"/>
      <c r="BA1011" s="31"/>
      <c r="BB1011" s="31"/>
      <c r="BC1011" s="31"/>
      <c r="BD1011" s="31"/>
      <c r="BE1011" s="31"/>
      <c r="BF1011" s="31"/>
      <c r="BG1011" s="31"/>
      <c r="BH1011" s="31"/>
      <c r="BI1011" s="31"/>
    </row>
    <row r="1012" spans="38:61" x14ac:dyDescent="0.2">
      <c r="AL1012" s="31"/>
      <c r="AM1012" s="31"/>
      <c r="AN1012" s="31"/>
      <c r="AO1012" s="31"/>
      <c r="AP1012" s="31"/>
      <c r="AQ1012" s="31"/>
      <c r="AR1012" s="31"/>
      <c r="AS1012" s="31"/>
      <c r="AT1012" s="31"/>
      <c r="AU1012" s="31"/>
      <c r="AV1012" s="31"/>
      <c r="AW1012" s="31"/>
      <c r="AX1012" s="31"/>
      <c r="AY1012" s="31"/>
      <c r="AZ1012" s="31"/>
      <c r="BA1012" s="31"/>
      <c r="BB1012" s="31"/>
      <c r="BC1012" s="31"/>
      <c r="BD1012" s="31"/>
      <c r="BE1012" s="31"/>
      <c r="BF1012" s="31"/>
      <c r="BG1012" s="31"/>
      <c r="BH1012" s="31"/>
      <c r="BI1012" s="31"/>
    </row>
    <row r="1013" spans="38:61" x14ac:dyDescent="0.2">
      <c r="AL1013" s="31"/>
      <c r="AM1013" s="31"/>
      <c r="AN1013" s="31"/>
      <c r="AO1013" s="31"/>
      <c r="AP1013" s="31"/>
      <c r="AQ1013" s="31"/>
      <c r="AR1013" s="31"/>
      <c r="AS1013" s="31"/>
      <c r="AT1013" s="31"/>
      <c r="AU1013" s="31"/>
      <c r="AV1013" s="31"/>
      <c r="AW1013" s="31"/>
      <c r="AX1013" s="31"/>
      <c r="AY1013" s="31"/>
      <c r="AZ1013" s="31"/>
      <c r="BA1013" s="31"/>
      <c r="BB1013" s="31"/>
      <c r="BC1013" s="31"/>
      <c r="BD1013" s="31"/>
      <c r="BE1013" s="31"/>
      <c r="BF1013" s="31"/>
      <c r="BG1013" s="31"/>
      <c r="BH1013" s="31"/>
      <c r="BI1013" s="31"/>
    </row>
    <row r="1014" spans="38:61" x14ac:dyDescent="0.2">
      <c r="AL1014" s="31"/>
      <c r="AM1014" s="31"/>
      <c r="AN1014" s="31"/>
      <c r="AO1014" s="31"/>
      <c r="AP1014" s="31"/>
      <c r="AQ1014" s="31"/>
      <c r="AR1014" s="31"/>
      <c r="AS1014" s="31"/>
      <c r="AT1014" s="31"/>
      <c r="AU1014" s="31"/>
      <c r="AV1014" s="31"/>
      <c r="AW1014" s="31"/>
      <c r="AX1014" s="31"/>
      <c r="AY1014" s="31"/>
      <c r="AZ1014" s="31"/>
      <c r="BA1014" s="31"/>
      <c r="BB1014" s="31"/>
      <c r="BC1014" s="31"/>
      <c r="BD1014" s="31"/>
      <c r="BE1014" s="31"/>
      <c r="BF1014" s="31"/>
      <c r="BG1014" s="31"/>
      <c r="BH1014" s="31"/>
      <c r="BI1014" s="31"/>
    </row>
    <row r="1015" spans="38:61" x14ac:dyDescent="0.2">
      <c r="AL1015" s="31"/>
      <c r="AM1015" s="31"/>
      <c r="AN1015" s="31"/>
      <c r="AO1015" s="31"/>
      <c r="AP1015" s="31"/>
      <c r="AQ1015" s="31"/>
      <c r="AR1015" s="31"/>
      <c r="AS1015" s="31"/>
      <c r="AT1015" s="31"/>
      <c r="AU1015" s="31"/>
      <c r="AV1015" s="31"/>
      <c r="AW1015" s="31"/>
      <c r="AX1015" s="31"/>
      <c r="AY1015" s="31"/>
      <c r="AZ1015" s="31"/>
      <c r="BA1015" s="31"/>
      <c r="BB1015" s="31"/>
      <c r="BC1015" s="31"/>
      <c r="BD1015" s="31"/>
      <c r="BE1015" s="31"/>
      <c r="BF1015" s="31"/>
      <c r="BG1015" s="31"/>
      <c r="BH1015" s="31"/>
      <c r="BI1015" s="31"/>
    </row>
    <row r="1016" spans="38:61" x14ac:dyDescent="0.2">
      <c r="AL1016" s="31"/>
      <c r="AM1016" s="31"/>
      <c r="AN1016" s="31"/>
      <c r="AO1016" s="31"/>
      <c r="AP1016" s="31"/>
      <c r="AQ1016" s="31"/>
      <c r="AR1016" s="31"/>
      <c r="AS1016" s="31"/>
      <c r="AT1016" s="31"/>
      <c r="AU1016" s="31"/>
      <c r="AV1016" s="31"/>
      <c r="AW1016" s="31"/>
      <c r="AX1016" s="31"/>
      <c r="AY1016" s="31"/>
      <c r="AZ1016" s="31"/>
      <c r="BA1016" s="31"/>
      <c r="BB1016" s="31"/>
      <c r="BC1016" s="31"/>
      <c r="BD1016" s="31"/>
      <c r="BE1016" s="31"/>
      <c r="BF1016" s="31"/>
      <c r="BG1016" s="31"/>
      <c r="BH1016" s="31"/>
      <c r="BI1016" s="31"/>
    </row>
    <row r="1017" spans="38:61" x14ac:dyDescent="0.2">
      <c r="AL1017" s="31"/>
      <c r="AM1017" s="31"/>
      <c r="AN1017" s="31"/>
      <c r="AO1017" s="31"/>
      <c r="AP1017" s="31"/>
      <c r="AQ1017" s="31"/>
      <c r="AR1017" s="31"/>
      <c r="AS1017" s="31"/>
      <c r="AT1017" s="31"/>
      <c r="AU1017" s="31"/>
      <c r="AV1017" s="31"/>
      <c r="AW1017" s="31"/>
      <c r="AX1017" s="31"/>
      <c r="AY1017" s="31"/>
      <c r="AZ1017" s="31"/>
      <c r="BA1017" s="31"/>
      <c r="BB1017" s="31"/>
      <c r="BC1017" s="31"/>
      <c r="BD1017" s="31"/>
      <c r="BE1017" s="31"/>
      <c r="BF1017" s="31"/>
      <c r="BG1017" s="31"/>
      <c r="BH1017" s="31"/>
      <c r="BI1017" s="31"/>
    </row>
    <row r="1018" spans="38:61" x14ac:dyDescent="0.2">
      <c r="AL1018" s="31"/>
      <c r="AM1018" s="31"/>
      <c r="AN1018" s="31"/>
      <c r="AO1018" s="31"/>
      <c r="AP1018" s="31"/>
      <c r="AQ1018" s="31"/>
      <c r="AR1018" s="31"/>
      <c r="AS1018" s="31"/>
      <c r="AT1018" s="31"/>
      <c r="AU1018" s="31"/>
      <c r="AV1018" s="31"/>
      <c r="AW1018" s="31"/>
      <c r="AX1018" s="31"/>
      <c r="AY1018" s="31"/>
      <c r="AZ1018" s="31"/>
      <c r="BA1018" s="31"/>
      <c r="BB1018" s="31"/>
      <c r="BC1018" s="31"/>
      <c r="BD1018" s="31"/>
      <c r="BE1018" s="31"/>
      <c r="BF1018" s="31"/>
      <c r="BG1018" s="31"/>
      <c r="BH1018" s="31"/>
      <c r="BI1018" s="31"/>
    </row>
    <row r="1019" spans="38:61" x14ac:dyDescent="0.2">
      <c r="AL1019" s="31"/>
      <c r="AM1019" s="31"/>
      <c r="AN1019" s="31"/>
      <c r="AO1019" s="31"/>
      <c r="AP1019" s="31"/>
      <c r="AQ1019" s="31"/>
      <c r="AR1019" s="31"/>
      <c r="AS1019" s="31"/>
      <c r="AT1019" s="31"/>
      <c r="AU1019" s="31"/>
      <c r="AV1019" s="31"/>
      <c r="AW1019" s="31"/>
      <c r="AX1019" s="31"/>
      <c r="AY1019" s="31"/>
      <c r="AZ1019" s="31"/>
      <c r="BA1019" s="31"/>
      <c r="BB1019" s="31"/>
      <c r="BC1019" s="31"/>
      <c r="BD1019" s="31"/>
      <c r="BE1019" s="31"/>
      <c r="BF1019" s="31"/>
      <c r="BG1019" s="31"/>
      <c r="BH1019" s="31"/>
      <c r="BI1019" s="31"/>
    </row>
    <row r="1020" spans="38:61" x14ac:dyDescent="0.2">
      <c r="AL1020" s="31"/>
      <c r="AM1020" s="31"/>
      <c r="AN1020" s="31"/>
      <c r="AO1020" s="31"/>
      <c r="AP1020" s="31"/>
      <c r="AQ1020" s="31"/>
      <c r="AR1020" s="31"/>
      <c r="AS1020" s="31"/>
      <c r="AT1020" s="31"/>
      <c r="AU1020" s="31"/>
      <c r="AV1020" s="31"/>
      <c r="AW1020" s="31"/>
      <c r="AX1020" s="31"/>
      <c r="AY1020" s="31"/>
      <c r="AZ1020" s="31"/>
      <c r="BA1020" s="31"/>
      <c r="BB1020" s="31"/>
      <c r="BC1020" s="31"/>
      <c r="BD1020" s="31"/>
      <c r="BE1020" s="31"/>
      <c r="BF1020" s="31"/>
      <c r="BG1020" s="31"/>
      <c r="BH1020" s="31"/>
      <c r="BI1020" s="31"/>
    </row>
    <row r="1021" spans="38:61" x14ac:dyDescent="0.2">
      <c r="AL1021" s="31"/>
      <c r="AM1021" s="31"/>
      <c r="AN1021" s="31"/>
      <c r="AO1021" s="31"/>
      <c r="AP1021" s="31"/>
      <c r="AQ1021" s="31"/>
      <c r="AR1021" s="31"/>
      <c r="AS1021" s="31"/>
      <c r="AT1021" s="31"/>
      <c r="AU1021" s="31"/>
      <c r="AV1021" s="31"/>
      <c r="AW1021" s="31"/>
      <c r="AX1021" s="31"/>
      <c r="AY1021" s="31"/>
      <c r="AZ1021" s="31"/>
      <c r="BA1021" s="31"/>
      <c r="BB1021" s="31"/>
      <c r="BC1021" s="31"/>
      <c r="BD1021" s="31"/>
      <c r="BE1021" s="31"/>
      <c r="BF1021" s="31"/>
      <c r="BG1021" s="31"/>
      <c r="BH1021" s="31"/>
      <c r="BI1021" s="31"/>
    </row>
    <row r="1022" spans="38:61" x14ac:dyDescent="0.2">
      <c r="AL1022" s="31"/>
      <c r="AM1022" s="31"/>
      <c r="AN1022" s="31"/>
      <c r="AO1022" s="31"/>
      <c r="AP1022" s="31"/>
      <c r="AQ1022" s="31"/>
      <c r="AR1022" s="31"/>
      <c r="AS1022" s="31"/>
      <c r="AT1022" s="31"/>
      <c r="AU1022" s="31"/>
      <c r="AV1022" s="31"/>
      <c r="AW1022" s="31"/>
      <c r="AX1022" s="31"/>
      <c r="AY1022" s="31"/>
      <c r="AZ1022" s="31"/>
      <c r="BA1022" s="31"/>
      <c r="BB1022" s="31"/>
      <c r="BC1022" s="31"/>
      <c r="BD1022" s="31"/>
      <c r="BE1022" s="31"/>
      <c r="BF1022" s="31"/>
      <c r="BG1022" s="31"/>
      <c r="BH1022" s="31"/>
      <c r="BI1022" s="31"/>
    </row>
    <row r="1023" spans="38:61" x14ac:dyDescent="0.2">
      <c r="AL1023" s="31"/>
      <c r="AM1023" s="31"/>
      <c r="AN1023" s="31"/>
      <c r="AO1023" s="31"/>
      <c r="AP1023" s="31"/>
      <c r="AQ1023" s="31"/>
      <c r="AR1023" s="31"/>
      <c r="AS1023" s="31"/>
      <c r="AT1023" s="31"/>
      <c r="AU1023" s="31"/>
      <c r="AV1023" s="31"/>
      <c r="AW1023" s="31"/>
      <c r="AX1023" s="31"/>
      <c r="AY1023" s="31"/>
      <c r="AZ1023" s="31"/>
      <c r="BA1023" s="31"/>
      <c r="BB1023" s="31"/>
      <c r="BC1023" s="31"/>
      <c r="BD1023" s="31"/>
      <c r="BE1023" s="31"/>
      <c r="BF1023" s="31"/>
      <c r="BG1023" s="31"/>
      <c r="BH1023" s="31"/>
      <c r="BI1023" s="31"/>
    </row>
    <row r="1024" spans="38:61" x14ac:dyDescent="0.2">
      <c r="AL1024" s="31"/>
      <c r="AM1024" s="31"/>
      <c r="AN1024" s="31"/>
      <c r="AO1024" s="31"/>
      <c r="AP1024" s="31"/>
      <c r="AQ1024" s="31"/>
      <c r="AR1024" s="31"/>
      <c r="AS1024" s="31"/>
      <c r="AT1024" s="31"/>
      <c r="AU1024" s="31"/>
      <c r="AV1024" s="31"/>
      <c r="AW1024" s="31"/>
      <c r="AX1024" s="31"/>
      <c r="AY1024" s="31"/>
      <c r="AZ1024" s="31"/>
      <c r="BA1024" s="31"/>
      <c r="BB1024" s="31"/>
      <c r="BC1024" s="31"/>
      <c r="BD1024" s="31"/>
      <c r="BE1024" s="31"/>
      <c r="BF1024" s="31"/>
      <c r="BG1024" s="31"/>
      <c r="BH1024" s="31"/>
      <c r="BI1024" s="31"/>
    </row>
    <row r="1025" spans="38:61" x14ac:dyDescent="0.2">
      <c r="AL1025" s="31"/>
      <c r="AM1025" s="31"/>
      <c r="AN1025" s="31"/>
      <c r="AO1025" s="31"/>
      <c r="AP1025" s="31"/>
      <c r="AQ1025" s="31"/>
      <c r="AR1025" s="31"/>
      <c r="AS1025" s="31"/>
      <c r="AT1025" s="31"/>
      <c r="AU1025" s="31"/>
      <c r="AV1025" s="31"/>
      <c r="AW1025" s="31"/>
      <c r="AX1025" s="31"/>
      <c r="AY1025" s="31"/>
      <c r="AZ1025" s="31"/>
      <c r="BA1025" s="31"/>
      <c r="BB1025" s="31"/>
      <c r="BC1025" s="31"/>
      <c r="BD1025" s="31"/>
      <c r="BE1025" s="31"/>
      <c r="BF1025" s="31"/>
      <c r="BG1025" s="31"/>
      <c r="BH1025" s="31"/>
      <c r="BI1025" s="31"/>
    </row>
    <row r="1026" spans="38:61" x14ac:dyDescent="0.2">
      <c r="AL1026" s="31"/>
      <c r="AM1026" s="31"/>
      <c r="AN1026" s="31"/>
      <c r="AO1026" s="31"/>
      <c r="AP1026" s="31"/>
      <c r="AQ1026" s="31"/>
      <c r="AR1026" s="31"/>
      <c r="AS1026" s="31"/>
      <c r="AT1026" s="31"/>
      <c r="AU1026" s="31"/>
      <c r="AV1026" s="31"/>
      <c r="AW1026" s="31"/>
      <c r="AX1026" s="31"/>
      <c r="AY1026" s="31"/>
      <c r="AZ1026" s="31"/>
      <c r="BA1026" s="31"/>
      <c r="BB1026" s="31"/>
      <c r="BC1026" s="31"/>
      <c r="BD1026" s="31"/>
      <c r="BE1026" s="31"/>
      <c r="BF1026" s="31"/>
      <c r="BG1026" s="31"/>
      <c r="BH1026" s="31"/>
      <c r="BI1026" s="31"/>
    </row>
    <row r="1027" spans="38:61" x14ac:dyDescent="0.2">
      <c r="AL1027" s="31"/>
      <c r="AM1027" s="31"/>
      <c r="AN1027" s="31"/>
      <c r="AO1027" s="31"/>
      <c r="AP1027" s="31"/>
      <c r="AQ1027" s="31"/>
      <c r="AR1027" s="31"/>
      <c r="AS1027" s="31"/>
      <c r="AT1027" s="31"/>
      <c r="AU1027" s="31"/>
      <c r="AV1027" s="31"/>
      <c r="AW1027" s="31"/>
      <c r="AX1027" s="31"/>
      <c r="AY1027" s="31"/>
      <c r="AZ1027" s="31"/>
      <c r="BA1027" s="31"/>
      <c r="BB1027" s="31"/>
      <c r="BC1027" s="31"/>
      <c r="BD1027" s="31"/>
      <c r="BE1027" s="31"/>
      <c r="BF1027" s="31"/>
      <c r="BG1027" s="31"/>
      <c r="BH1027" s="31"/>
      <c r="BI1027" s="31"/>
    </row>
    <row r="1028" spans="38:61" x14ac:dyDescent="0.2">
      <c r="AL1028" s="31"/>
      <c r="AM1028" s="31"/>
      <c r="AN1028" s="31"/>
      <c r="AO1028" s="31"/>
      <c r="AP1028" s="31"/>
      <c r="AQ1028" s="31"/>
      <c r="AR1028" s="31"/>
      <c r="AS1028" s="31"/>
      <c r="AT1028" s="31"/>
      <c r="AU1028" s="31"/>
      <c r="AV1028" s="31"/>
      <c r="AW1028" s="31"/>
      <c r="AX1028" s="31"/>
      <c r="AY1028" s="31"/>
      <c r="AZ1028" s="31"/>
      <c r="BA1028" s="31"/>
      <c r="BB1028" s="31"/>
      <c r="BC1028" s="31"/>
      <c r="BD1028" s="31"/>
      <c r="BE1028" s="31"/>
      <c r="BF1028" s="31"/>
      <c r="BG1028" s="31"/>
      <c r="BH1028" s="31"/>
      <c r="BI1028" s="31"/>
    </row>
    <row r="1029" spans="38:61" x14ac:dyDescent="0.2">
      <c r="AL1029" s="31"/>
      <c r="AM1029" s="31"/>
      <c r="AN1029" s="31"/>
      <c r="AO1029" s="31"/>
      <c r="AP1029" s="31"/>
      <c r="AQ1029" s="31"/>
      <c r="AR1029" s="31"/>
      <c r="AS1029" s="31"/>
      <c r="AT1029" s="31"/>
      <c r="AU1029" s="31"/>
      <c r="AV1029" s="31"/>
      <c r="AW1029" s="31"/>
      <c r="AX1029" s="31"/>
      <c r="AY1029" s="31"/>
      <c r="AZ1029" s="31"/>
      <c r="BA1029" s="31"/>
      <c r="BB1029" s="31"/>
      <c r="BC1029" s="31"/>
      <c r="BD1029" s="31"/>
      <c r="BE1029" s="31"/>
      <c r="BF1029" s="31"/>
      <c r="BG1029" s="31"/>
      <c r="BH1029" s="31"/>
      <c r="BI1029" s="31"/>
    </row>
    <row r="1030" spans="38:61" x14ac:dyDescent="0.2">
      <c r="AL1030" s="31"/>
      <c r="AM1030" s="31"/>
      <c r="AN1030" s="31"/>
      <c r="AO1030" s="31"/>
      <c r="AP1030" s="31"/>
      <c r="AQ1030" s="31"/>
      <c r="AR1030" s="31"/>
      <c r="AS1030" s="31"/>
      <c r="AT1030" s="31"/>
      <c r="AU1030" s="31"/>
      <c r="AV1030" s="31"/>
      <c r="AW1030" s="31"/>
      <c r="AX1030" s="31"/>
      <c r="AY1030" s="31"/>
      <c r="AZ1030" s="31"/>
      <c r="BA1030" s="31"/>
      <c r="BB1030" s="31"/>
      <c r="BC1030" s="31"/>
      <c r="BD1030" s="31"/>
      <c r="BE1030" s="31"/>
      <c r="BF1030" s="31"/>
      <c r="BG1030" s="31"/>
      <c r="BH1030" s="31"/>
      <c r="BI1030" s="31"/>
    </row>
    <row r="1031" spans="38:61" x14ac:dyDescent="0.2">
      <c r="AL1031" s="31"/>
      <c r="AM1031" s="31"/>
      <c r="AN1031" s="31"/>
      <c r="AO1031" s="31"/>
      <c r="AP1031" s="31"/>
      <c r="AQ1031" s="31"/>
      <c r="AR1031" s="31"/>
      <c r="AS1031" s="31"/>
      <c r="AT1031" s="31"/>
      <c r="AU1031" s="31"/>
      <c r="AV1031" s="31"/>
      <c r="AW1031" s="31"/>
      <c r="AX1031" s="31"/>
      <c r="AY1031" s="31"/>
      <c r="AZ1031" s="31"/>
      <c r="BA1031" s="31"/>
      <c r="BB1031" s="31"/>
      <c r="BC1031" s="31"/>
      <c r="BD1031" s="31"/>
      <c r="BE1031" s="31"/>
      <c r="BF1031" s="31"/>
      <c r="BG1031" s="31"/>
      <c r="BH1031" s="31"/>
      <c r="BI1031" s="31"/>
    </row>
    <row r="1032" spans="38:61" x14ac:dyDescent="0.2">
      <c r="AL1032" s="31"/>
      <c r="AM1032" s="31"/>
      <c r="AN1032" s="31"/>
      <c r="AO1032" s="31"/>
      <c r="AP1032" s="31"/>
      <c r="AQ1032" s="31"/>
      <c r="AR1032" s="31"/>
      <c r="AS1032" s="31"/>
      <c r="AT1032" s="31"/>
      <c r="AU1032" s="31"/>
      <c r="AV1032" s="31"/>
      <c r="AW1032" s="31"/>
      <c r="AX1032" s="31"/>
      <c r="AY1032" s="31"/>
      <c r="AZ1032" s="31"/>
      <c r="BA1032" s="31"/>
      <c r="BB1032" s="31"/>
      <c r="BC1032" s="31"/>
      <c r="BD1032" s="31"/>
      <c r="BE1032" s="31"/>
      <c r="BF1032" s="31"/>
      <c r="BG1032" s="31"/>
      <c r="BH1032" s="31"/>
      <c r="BI1032" s="31"/>
    </row>
    <row r="1033" spans="38:61" x14ac:dyDescent="0.2">
      <c r="AL1033" s="31"/>
      <c r="AM1033" s="31"/>
      <c r="AN1033" s="31"/>
      <c r="AO1033" s="31"/>
      <c r="AP1033" s="31"/>
      <c r="AQ1033" s="31"/>
      <c r="AR1033" s="31"/>
      <c r="AS1033" s="31"/>
      <c r="AT1033" s="31"/>
      <c r="AU1033" s="31"/>
      <c r="AV1033" s="31"/>
      <c r="AW1033" s="31"/>
      <c r="AX1033" s="31"/>
      <c r="AY1033" s="31"/>
      <c r="AZ1033" s="31"/>
      <c r="BA1033" s="31"/>
      <c r="BB1033" s="31"/>
      <c r="BC1033" s="31"/>
      <c r="BD1033" s="31"/>
      <c r="BE1033" s="31"/>
      <c r="BF1033" s="31"/>
      <c r="BG1033" s="31"/>
      <c r="BH1033" s="31"/>
      <c r="BI1033" s="31"/>
    </row>
    <row r="1034" spans="38:61" x14ac:dyDescent="0.2">
      <c r="AL1034" s="31"/>
      <c r="AM1034" s="31"/>
      <c r="AN1034" s="31"/>
      <c r="AO1034" s="31"/>
      <c r="AP1034" s="31"/>
      <c r="AQ1034" s="31"/>
      <c r="AR1034" s="31"/>
      <c r="AS1034" s="31"/>
      <c r="AT1034" s="31"/>
      <c r="AU1034" s="31"/>
      <c r="AV1034" s="31"/>
      <c r="AW1034" s="31"/>
      <c r="AX1034" s="31"/>
      <c r="AY1034" s="31"/>
      <c r="AZ1034" s="31"/>
      <c r="BA1034" s="31"/>
      <c r="BB1034" s="31"/>
      <c r="BC1034" s="31"/>
      <c r="BD1034" s="31"/>
      <c r="BE1034" s="31"/>
      <c r="BF1034" s="31"/>
      <c r="BG1034" s="31"/>
      <c r="BH1034" s="31"/>
      <c r="BI1034" s="31"/>
    </row>
    <row r="1035" spans="38:61" x14ac:dyDescent="0.2">
      <c r="AL1035" s="31"/>
      <c r="AM1035" s="31"/>
      <c r="AN1035" s="31"/>
      <c r="AO1035" s="31"/>
      <c r="AP1035" s="31"/>
      <c r="AQ1035" s="31"/>
      <c r="AR1035" s="31"/>
      <c r="AS1035" s="31"/>
      <c r="AT1035" s="31"/>
      <c r="AU1035" s="31"/>
      <c r="AV1035" s="31"/>
      <c r="AW1035" s="31"/>
      <c r="AX1035" s="31"/>
      <c r="AY1035" s="31"/>
      <c r="AZ1035" s="31"/>
      <c r="BA1035" s="31"/>
      <c r="BB1035" s="31"/>
      <c r="BC1035" s="31"/>
      <c r="BD1035" s="31"/>
      <c r="BE1035" s="31"/>
      <c r="BF1035" s="31"/>
      <c r="BG1035" s="31"/>
      <c r="BH1035" s="31"/>
      <c r="BI1035" s="31"/>
    </row>
    <row r="1036" spans="38:61" x14ac:dyDescent="0.2">
      <c r="AL1036" s="31"/>
      <c r="AM1036" s="31"/>
      <c r="AN1036" s="31"/>
      <c r="AO1036" s="31"/>
      <c r="AP1036" s="31"/>
      <c r="AQ1036" s="31"/>
      <c r="AR1036" s="31"/>
      <c r="AS1036" s="31"/>
      <c r="AT1036" s="31"/>
      <c r="AU1036" s="31"/>
      <c r="AV1036" s="31"/>
      <c r="AW1036" s="31"/>
      <c r="AX1036" s="31"/>
      <c r="AY1036" s="31"/>
      <c r="AZ1036" s="31"/>
      <c r="BA1036" s="31"/>
      <c r="BB1036" s="31"/>
      <c r="BC1036" s="31"/>
      <c r="BD1036" s="31"/>
      <c r="BE1036" s="31"/>
      <c r="BF1036" s="31"/>
      <c r="BG1036" s="31"/>
      <c r="BH1036" s="31"/>
      <c r="BI1036" s="31"/>
    </row>
    <row r="1037" spans="38:61" x14ac:dyDescent="0.2">
      <c r="AL1037" s="31"/>
      <c r="AM1037" s="31"/>
      <c r="AN1037" s="31"/>
      <c r="AO1037" s="31"/>
      <c r="AP1037" s="31"/>
      <c r="AQ1037" s="31"/>
      <c r="AR1037" s="31"/>
      <c r="AS1037" s="31"/>
      <c r="AT1037" s="31"/>
      <c r="AU1037" s="31"/>
      <c r="AV1037" s="31"/>
      <c r="AW1037" s="31"/>
      <c r="AX1037" s="31"/>
      <c r="AY1037" s="31"/>
      <c r="AZ1037" s="31"/>
      <c r="BA1037" s="31"/>
      <c r="BB1037" s="31"/>
      <c r="BC1037" s="31"/>
      <c r="BD1037" s="31"/>
      <c r="BE1037" s="31"/>
      <c r="BF1037" s="31"/>
      <c r="BG1037" s="31"/>
      <c r="BH1037" s="31"/>
      <c r="BI1037" s="31"/>
    </row>
    <row r="1038" spans="38:61" x14ac:dyDescent="0.2">
      <c r="AL1038" s="31"/>
      <c r="AM1038" s="31"/>
      <c r="AN1038" s="31"/>
      <c r="AO1038" s="31"/>
      <c r="AP1038" s="31"/>
      <c r="AQ1038" s="31"/>
      <c r="AR1038" s="31"/>
      <c r="AS1038" s="31"/>
      <c r="AT1038" s="31"/>
      <c r="AU1038" s="31"/>
      <c r="AV1038" s="31"/>
      <c r="AW1038" s="31"/>
      <c r="AX1038" s="31"/>
      <c r="AY1038" s="31"/>
      <c r="AZ1038" s="31"/>
      <c r="BA1038" s="31"/>
      <c r="BB1038" s="31"/>
      <c r="BC1038" s="31"/>
      <c r="BD1038" s="31"/>
      <c r="BE1038" s="31"/>
      <c r="BF1038" s="31"/>
      <c r="BG1038" s="31"/>
      <c r="BH1038" s="31"/>
      <c r="BI1038" s="31"/>
    </row>
    <row r="1039" spans="38:61" x14ac:dyDescent="0.2">
      <c r="AL1039" s="31"/>
      <c r="AM1039" s="31"/>
      <c r="AN1039" s="31"/>
      <c r="AO1039" s="31"/>
      <c r="AP1039" s="31"/>
      <c r="AQ1039" s="31"/>
      <c r="AR1039" s="31"/>
      <c r="AS1039" s="31"/>
      <c r="AT1039" s="31"/>
      <c r="AU1039" s="31"/>
      <c r="AV1039" s="31"/>
      <c r="AW1039" s="31"/>
      <c r="AX1039" s="31"/>
      <c r="AY1039" s="31"/>
      <c r="AZ1039" s="31"/>
      <c r="BA1039" s="31"/>
      <c r="BB1039" s="31"/>
      <c r="BC1039" s="31"/>
      <c r="BD1039" s="31"/>
      <c r="BE1039" s="31"/>
      <c r="BF1039" s="31"/>
      <c r="BG1039" s="31"/>
      <c r="BH1039" s="31"/>
      <c r="BI1039" s="31"/>
    </row>
    <row r="1040" spans="38:61" x14ac:dyDescent="0.2">
      <c r="AL1040" s="31"/>
      <c r="AM1040" s="31"/>
      <c r="AN1040" s="31"/>
      <c r="AO1040" s="31"/>
      <c r="AP1040" s="31"/>
      <c r="AQ1040" s="31"/>
      <c r="AR1040" s="31"/>
      <c r="AS1040" s="31"/>
      <c r="AT1040" s="31"/>
      <c r="AU1040" s="31"/>
      <c r="AV1040" s="31"/>
      <c r="AW1040" s="31"/>
      <c r="AX1040" s="31"/>
      <c r="AY1040" s="31"/>
      <c r="AZ1040" s="31"/>
      <c r="BA1040" s="31"/>
      <c r="BB1040" s="31"/>
      <c r="BC1040" s="31"/>
      <c r="BD1040" s="31"/>
      <c r="BE1040" s="31"/>
      <c r="BF1040" s="31"/>
      <c r="BG1040" s="31"/>
      <c r="BH1040" s="31"/>
      <c r="BI1040" s="31"/>
    </row>
    <row r="1041" spans="38:61" x14ac:dyDescent="0.2">
      <c r="AL1041" s="31"/>
      <c r="AM1041" s="31"/>
      <c r="AN1041" s="31"/>
      <c r="AO1041" s="31"/>
      <c r="AP1041" s="31"/>
      <c r="AQ1041" s="31"/>
      <c r="AR1041" s="31"/>
      <c r="AS1041" s="31"/>
      <c r="AT1041" s="31"/>
      <c r="AU1041" s="31"/>
      <c r="AV1041" s="31"/>
      <c r="AW1041" s="31"/>
      <c r="AX1041" s="31"/>
      <c r="AY1041" s="31"/>
      <c r="AZ1041" s="31"/>
      <c r="BA1041" s="31"/>
      <c r="BB1041" s="31"/>
      <c r="BC1041" s="31"/>
      <c r="BD1041" s="31"/>
      <c r="BE1041" s="31"/>
      <c r="BF1041" s="31"/>
      <c r="BG1041" s="31"/>
      <c r="BH1041" s="31"/>
      <c r="BI1041" s="31"/>
    </row>
    <row r="1042" spans="38:61" x14ac:dyDescent="0.2">
      <c r="AL1042" s="31"/>
      <c r="AM1042" s="31"/>
      <c r="AN1042" s="31"/>
      <c r="AO1042" s="31"/>
      <c r="AP1042" s="31"/>
      <c r="AQ1042" s="31"/>
      <c r="AR1042" s="31"/>
      <c r="AS1042" s="31"/>
      <c r="AT1042" s="31"/>
      <c r="AU1042" s="31"/>
      <c r="AV1042" s="31"/>
      <c r="AW1042" s="31"/>
      <c r="AX1042" s="31"/>
      <c r="AY1042" s="31"/>
      <c r="AZ1042" s="31"/>
      <c r="BA1042" s="31"/>
      <c r="BB1042" s="31"/>
      <c r="BC1042" s="31"/>
      <c r="BD1042" s="31"/>
      <c r="BE1042" s="31"/>
      <c r="BF1042" s="31"/>
      <c r="BG1042" s="31"/>
      <c r="BH1042" s="31"/>
      <c r="BI1042" s="31"/>
    </row>
    <row r="1043" spans="38:61" x14ac:dyDescent="0.2">
      <c r="AL1043" s="31"/>
      <c r="AM1043" s="31"/>
      <c r="AN1043" s="31"/>
      <c r="AO1043" s="31"/>
      <c r="AP1043" s="31"/>
      <c r="AQ1043" s="31"/>
      <c r="AR1043" s="31"/>
      <c r="AS1043" s="31"/>
      <c r="AT1043" s="31"/>
      <c r="AU1043" s="31"/>
      <c r="AV1043" s="31"/>
      <c r="AW1043" s="31"/>
      <c r="AX1043" s="31"/>
      <c r="AY1043" s="31"/>
      <c r="AZ1043" s="31"/>
      <c r="BA1043" s="31"/>
      <c r="BB1043" s="31"/>
      <c r="BC1043" s="31"/>
      <c r="BD1043" s="31"/>
      <c r="BE1043" s="31"/>
      <c r="BF1043" s="31"/>
      <c r="BG1043" s="31"/>
      <c r="BH1043" s="31"/>
      <c r="BI1043" s="31"/>
    </row>
    <row r="1044" spans="38:61" x14ac:dyDescent="0.2">
      <c r="AL1044" s="31"/>
      <c r="AM1044" s="31"/>
      <c r="AN1044" s="31"/>
      <c r="AO1044" s="31"/>
      <c r="AP1044" s="31"/>
      <c r="AQ1044" s="31"/>
      <c r="AR1044" s="31"/>
      <c r="AS1044" s="31"/>
      <c r="AT1044" s="31"/>
      <c r="AU1044" s="31"/>
      <c r="AV1044" s="31"/>
      <c r="AW1044" s="31"/>
      <c r="AX1044" s="31"/>
      <c r="AY1044" s="31"/>
      <c r="AZ1044" s="31"/>
      <c r="BA1044" s="31"/>
      <c r="BB1044" s="31"/>
      <c r="BC1044" s="31"/>
      <c r="BD1044" s="31"/>
      <c r="BE1044" s="31"/>
      <c r="BF1044" s="31"/>
      <c r="BG1044" s="31"/>
      <c r="BH1044" s="31"/>
      <c r="BI1044" s="31"/>
    </row>
    <row r="1045" spans="38:61" x14ac:dyDescent="0.2">
      <c r="AL1045" s="31"/>
      <c r="AM1045" s="31"/>
      <c r="AN1045" s="31"/>
      <c r="AO1045" s="31"/>
      <c r="AP1045" s="31"/>
      <c r="AQ1045" s="31"/>
      <c r="AR1045" s="31"/>
      <c r="AS1045" s="31"/>
      <c r="AT1045" s="31"/>
      <c r="AU1045" s="31"/>
      <c r="AV1045" s="31"/>
      <c r="AW1045" s="31"/>
      <c r="AX1045" s="31"/>
      <c r="AY1045" s="31"/>
      <c r="AZ1045" s="31"/>
      <c r="BA1045" s="31"/>
      <c r="BB1045" s="31"/>
      <c r="BC1045" s="31"/>
      <c r="BD1045" s="31"/>
      <c r="BE1045" s="31"/>
      <c r="BF1045" s="31"/>
      <c r="BG1045" s="31"/>
      <c r="BH1045" s="31"/>
      <c r="BI1045" s="31"/>
    </row>
    <row r="1046" spans="38:61" x14ac:dyDescent="0.2">
      <c r="AL1046" s="31"/>
      <c r="AM1046" s="31"/>
      <c r="AN1046" s="31"/>
      <c r="AO1046" s="31"/>
      <c r="AP1046" s="31"/>
      <c r="AQ1046" s="31"/>
      <c r="AR1046" s="31"/>
      <c r="AS1046" s="31"/>
      <c r="AT1046" s="31"/>
      <c r="AU1046" s="31"/>
      <c r="AV1046" s="31"/>
      <c r="AW1046" s="31"/>
      <c r="AX1046" s="31"/>
      <c r="AY1046" s="31"/>
      <c r="AZ1046" s="31"/>
      <c r="BA1046" s="31"/>
      <c r="BB1046" s="31"/>
      <c r="BC1046" s="31"/>
      <c r="BD1046" s="31"/>
      <c r="BE1046" s="31"/>
      <c r="BF1046" s="31"/>
      <c r="BG1046" s="31"/>
      <c r="BH1046" s="31"/>
      <c r="BI1046" s="31"/>
    </row>
    <row r="1047" spans="38:61" x14ac:dyDescent="0.2">
      <c r="AL1047" s="31"/>
      <c r="AM1047" s="31"/>
      <c r="AN1047" s="31"/>
      <c r="AO1047" s="31"/>
      <c r="AP1047" s="31"/>
      <c r="AQ1047" s="31"/>
      <c r="AR1047" s="31"/>
      <c r="AS1047" s="31"/>
      <c r="AT1047" s="31"/>
      <c r="AU1047" s="31"/>
      <c r="AV1047" s="31"/>
      <c r="AW1047" s="31"/>
      <c r="AX1047" s="31"/>
      <c r="AY1047" s="31"/>
      <c r="AZ1047" s="31"/>
      <c r="BA1047" s="31"/>
      <c r="BB1047" s="31"/>
      <c r="BC1047" s="31"/>
      <c r="BD1047" s="31"/>
      <c r="BE1047" s="31"/>
      <c r="BF1047" s="31"/>
      <c r="BG1047" s="31"/>
      <c r="BH1047" s="31"/>
      <c r="BI1047" s="31"/>
    </row>
    <row r="1048" spans="38:61" x14ac:dyDescent="0.2">
      <c r="AL1048" s="31"/>
      <c r="AM1048" s="31"/>
      <c r="AN1048" s="31"/>
      <c r="AO1048" s="31"/>
      <c r="AP1048" s="31"/>
      <c r="AQ1048" s="31"/>
      <c r="AR1048" s="31"/>
      <c r="AS1048" s="31"/>
      <c r="AT1048" s="31"/>
      <c r="AU1048" s="31"/>
      <c r="AV1048" s="31"/>
      <c r="AW1048" s="31"/>
      <c r="AX1048" s="31"/>
      <c r="AY1048" s="31"/>
      <c r="AZ1048" s="31"/>
      <c r="BA1048" s="31"/>
      <c r="BB1048" s="31"/>
      <c r="BC1048" s="31"/>
      <c r="BD1048" s="31"/>
      <c r="BE1048" s="31"/>
      <c r="BF1048" s="31"/>
      <c r="BG1048" s="31"/>
      <c r="BH1048" s="31"/>
      <c r="BI1048" s="31"/>
    </row>
    <row r="1049" spans="38:61" x14ac:dyDescent="0.2">
      <c r="AL1049" s="31"/>
      <c r="AM1049" s="31"/>
      <c r="AN1049" s="31"/>
      <c r="AO1049" s="31"/>
      <c r="AP1049" s="31"/>
      <c r="AQ1049" s="31"/>
      <c r="AR1049" s="31"/>
      <c r="AS1049" s="31"/>
      <c r="AT1049" s="31"/>
      <c r="AU1049" s="31"/>
      <c r="AV1049" s="31"/>
      <c r="AW1049" s="31"/>
      <c r="AX1049" s="31"/>
      <c r="AY1049" s="31"/>
      <c r="AZ1049" s="31"/>
      <c r="BA1049" s="31"/>
      <c r="BB1049" s="31"/>
      <c r="BC1049" s="31"/>
      <c r="BD1049" s="31"/>
      <c r="BE1049" s="31"/>
      <c r="BF1049" s="31"/>
      <c r="BG1049" s="31"/>
      <c r="BH1049" s="31"/>
      <c r="BI1049" s="31"/>
    </row>
    <row r="1050" spans="38:61" x14ac:dyDescent="0.2">
      <c r="AL1050" s="31"/>
      <c r="AM1050" s="31"/>
      <c r="AN1050" s="31"/>
      <c r="AO1050" s="31"/>
      <c r="AP1050" s="31"/>
      <c r="AQ1050" s="31"/>
      <c r="AR1050" s="31"/>
      <c r="AS1050" s="31"/>
      <c r="AT1050" s="31"/>
      <c r="AU1050" s="31"/>
      <c r="AV1050" s="31"/>
      <c r="AW1050" s="31"/>
      <c r="AX1050" s="31"/>
      <c r="AY1050" s="31"/>
      <c r="AZ1050" s="31"/>
      <c r="BA1050" s="31"/>
      <c r="BB1050" s="31"/>
      <c r="BC1050" s="31"/>
      <c r="BD1050" s="31"/>
      <c r="BE1050" s="31"/>
      <c r="BF1050" s="31"/>
      <c r="BG1050" s="31"/>
      <c r="BH1050" s="31"/>
      <c r="BI1050" s="31"/>
    </row>
    <row r="1051" spans="38:61" x14ac:dyDescent="0.2">
      <c r="AL1051" s="31"/>
      <c r="AM1051" s="31"/>
      <c r="AN1051" s="31"/>
      <c r="AO1051" s="31"/>
      <c r="AP1051" s="31"/>
      <c r="AQ1051" s="31"/>
      <c r="AR1051" s="31"/>
      <c r="AS1051" s="31"/>
      <c r="AT1051" s="31"/>
      <c r="AU1051" s="31"/>
      <c r="AV1051" s="31"/>
      <c r="AW1051" s="31"/>
      <c r="AX1051" s="31"/>
      <c r="AY1051" s="31"/>
      <c r="AZ1051" s="31"/>
      <c r="BA1051" s="31"/>
      <c r="BB1051" s="31"/>
      <c r="BC1051" s="31"/>
      <c r="BD1051" s="31"/>
      <c r="BE1051" s="31"/>
      <c r="BF1051" s="31"/>
      <c r="BG1051" s="31"/>
      <c r="BH1051" s="31"/>
      <c r="BI1051" s="31"/>
    </row>
    <row r="1052" spans="38:61" x14ac:dyDescent="0.2">
      <c r="AL1052" s="31"/>
      <c r="AM1052" s="31"/>
      <c r="AN1052" s="31"/>
      <c r="AO1052" s="31"/>
      <c r="AP1052" s="31"/>
      <c r="AQ1052" s="31"/>
      <c r="AR1052" s="31"/>
      <c r="AS1052" s="31"/>
      <c r="AT1052" s="31"/>
      <c r="AU1052" s="31"/>
      <c r="AV1052" s="31"/>
      <c r="AW1052" s="31"/>
      <c r="AX1052" s="31"/>
      <c r="AY1052" s="31"/>
      <c r="AZ1052" s="31"/>
      <c r="BA1052" s="31"/>
      <c r="BB1052" s="31"/>
      <c r="BC1052" s="31"/>
      <c r="BD1052" s="31"/>
      <c r="BE1052" s="31"/>
      <c r="BF1052" s="31"/>
      <c r="BG1052" s="31"/>
      <c r="BH1052" s="31"/>
      <c r="BI1052" s="31"/>
    </row>
    <row r="1053" spans="38:61" x14ac:dyDescent="0.2">
      <c r="AL1053" s="31"/>
      <c r="AM1053" s="31"/>
      <c r="AN1053" s="31"/>
      <c r="AO1053" s="31"/>
      <c r="AP1053" s="31"/>
      <c r="AQ1053" s="31"/>
      <c r="AR1053" s="31"/>
      <c r="AS1053" s="31"/>
      <c r="AT1053" s="31"/>
      <c r="AU1053" s="31"/>
      <c r="AV1053" s="31"/>
      <c r="AW1053" s="31"/>
      <c r="AX1053" s="31"/>
      <c r="AY1053" s="31"/>
      <c r="AZ1053" s="31"/>
      <c r="BA1053" s="31"/>
      <c r="BB1053" s="31"/>
      <c r="BC1053" s="31"/>
      <c r="BD1053" s="31"/>
      <c r="BE1053" s="31"/>
      <c r="BF1053" s="31"/>
      <c r="BG1053" s="31"/>
      <c r="BH1053" s="31"/>
      <c r="BI1053" s="31"/>
    </row>
    <row r="1054" spans="38:61" x14ac:dyDescent="0.2">
      <c r="AL1054" s="31"/>
      <c r="AM1054" s="31"/>
      <c r="AN1054" s="31"/>
      <c r="AO1054" s="31"/>
      <c r="AP1054" s="31"/>
      <c r="AQ1054" s="31"/>
      <c r="AR1054" s="31"/>
      <c r="AS1054" s="31"/>
      <c r="AT1054" s="31"/>
      <c r="AU1054" s="31"/>
      <c r="AV1054" s="31"/>
      <c r="AW1054" s="31"/>
      <c r="AX1054" s="31"/>
      <c r="AY1054" s="31"/>
      <c r="AZ1054" s="31"/>
      <c r="BA1054" s="31"/>
      <c r="BB1054" s="31"/>
      <c r="BC1054" s="31"/>
      <c r="BD1054" s="31"/>
      <c r="BE1054" s="31"/>
      <c r="BF1054" s="31"/>
      <c r="BG1054" s="31"/>
      <c r="BH1054" s="31"/>
      <c r="BI1054" s="31"/>
    </row>
    <row r="1055" spans="38:61" x14ac:dyDescent="0.2">
      <c r="AL1055" s="31"/>
      <c r="AM1055" s="31"/>
      <c r="AN1055" s="31"/>
      <c r="AO1055" s="31"/>
      <c r="AP1055" s="31"/>
      <c r="AQ1055" s="31"/>
      <c r="AR1055" s="31"/>
      <c r="AS1055" s="31"/>
      <c r="AT1055" s="31"/>
      <c r="AU1055" s="31"/>
      <c r="AV1055" s="31"/>
      <c r="AW1055" s="31"/>
      <c r="AX1055" s="31"/>
      <c r="AY1055" s="31"/>
      <c r="AZ1055" s="31"/>
      <c r="BA1055" s="31"/>
      <c r="BB1055" s="31"/>
      <c r="BC1055" s="31"/>
      <c r="BD1055" s="31"/>
      <c r="BE1055" s="31"/>
      <c r="BF1055" s="31"/>
      <c r="BG1055" s="31"/>
      <c r="BH1055" s="31"/>
      <c r="BI1055" s="31"/>
    </row>
    <row r="1056" spans="38:61" x14ac:dyDescent="0.2">
      <c r="AL1056" s="31"/>
      <c r="AM1056" s="31"/>
      <c r="AN1056" s="31"/>
      <c r="AO1056" s="31"/>
      <c r="AP1056" s="31"/>
      <c r="AQ1056" s="31"/>
      <c r="AR1056" s="31"/>
      <c r="AS1056" s="31"/>
      <c r="AT1056" s="31"/>
      <c r="AU1056" s="31"/>
      <c r="AV1056" s="31"/>
      <c r="AW1056" s="31"/>
      <c r="AX1056" s="31"/>
      <c r="AY1056" s="31"/>
      <c r="AZ1056" s="31"/>
      <c r="BA1056" s="31"/>
      <c r="BB1056" s="31"/>
      <c r="BC1056" s="31"/>
      <c r="BD1056" s="31"/>
      <c r="BE1056" s="31"/>
      <c r="BF1056" s="31"/>
      <c r="BG1056" s="31"/>
      <c r="BH1056" s="31"/>
      <c r="BI1056" s="31"/>
    </row>
    <row r="1057" spans="38:61" x14ac:dyDescent="0.2">
      <c r="AL1057" s="31"/>
      <c r="AM1057" s="31"/>
      <c r="AN1057" s="31"/>
      <c r="AO1057" s="31"/>
      <c r="AP1057" s="31"/>
      <c r="AQ1057" s="31"/>
      <c r="AR1057" s="31"/>
      <c r="AS1057" s="31"/>
      <c r="AT1057" s="31"/>
      <c r="AU1057" s="31"/>
      <c r="AV1057" s="31"/>
      <c r="AW1057" s="31"/>
      <c r="AX1057" s="31"/>
      <c r="AY1057" s="31"/>
      <c r="AZ1057" s="31"/>
      <c r="BA1057" s="31"/>
      <c r="BB1057" s="31"/>
      <c r="BC1057" s="31"/>
      <c r="BD1057" s="31"/>
      <c r="BE1057" s="31"/>
      <c r="BF1057" s="31"/>
      <c r="BG1057" s="31"/>
      <c r="BH1057" s="31"/>
      <c r="BI1057" s="31"/>
    </row>
    <row r="1058" spans="38:61" x14ac:dyDescent="0.2">
      <c r="AL1058" s="31"/>
      <c r="AM1058" s="31"/>
      <c r="AN1058" s="31"/>
      <c r="AO1058" s="31"/>
      <c r="AP1058" s="31"/>
      <c r="AQ1058" s="31"/>
      <c r="AR1058" s="31"/>
      <c r="AS1058" s="31"/>
      <c r="AT1058" s="31"/>
      <c r="AU1058" s="31"/>
      <c r="AV1058" s="31"/>
      <c r="AW1058" s="31"/>
      <c r="AX1058" s="31"/>
      <c r="AY1058" s="31"/>
      <c r="AZ1058" s="31"/>
      <c r="BA1058" s="31"/>
      <c r="BB1058" s="31"/>
      <c r="BC1058" s="31"/>
      <c r="BD1058" s="31"/>
      <c r="BE1058" s="31"/>
      <c r="BF1058" s="31"/>
      <c r="BG1058" s="31"/>
      <c r="BH1058" s="31"/>
      <c r="BI1058" s="31"/>
    </row>
    <row r="1059" spans="38:61" x14ac:dyDescent="0.2">
      <c r="AL1059" s="31"/>
      <c r="AM1059" s="31"/>
      <c r="AN1059" s="31"/>
      <c r="AO1059" s="31"/>
      <c r="AP1059" s="31"/>
      <c r="AQ1059" s="31"/>
      <c r="AR1059" s="31"/>
      <c r="AS1059" s="31"/>
      <c r="AT1059" s="31"/>
      <c r="AU1059" s="31"/>
      <c r="AV1059" s="31"/>
      <c r="AW1059" s="31"/>
      <c r="AX1059" s="31"/>
      <c r="AY1059" s="31"/>
      <c r="AZ1059" s="31"/>
      <c r="BA1059" s="31"/>
      <c r="BB1059" s="31"/>
      <c r="BC1059" s="31"/>
      <c r="BD1059" s="31"/>
      <c r="BE1059" s="31"/>
      <c r="BF1059" s="31"/>
      <c r="BG1059" s="31"/>
      <c r="BH1059" s="31"/>
      <c r="BI1059" s="31"/>
    </row>
    <row r="1060" spans="38:61" x14ac:dyDescent="0.2">
      <c r="AL1060" s="31"/>
      <c r="AM1060" s="31"/>
      <c r="AN1060" s="31"/>
      <c r="AO1060" s="31"/>
      <c r="AP1060" s="31"/>
      <c r="AQ1060" s="31"/>
      <c r="AR1060" s="31"/>
      <c r="AS1060" s="31"/>
      <c r="AT1060" s="31"/>
      <c r="AU1060" s="31"/>
      <c r="AV1060" s="31"/>
      <c r="AW1060" s="31"/>
      <c r="AX1060" s="31"/>
      <c r="AY1060" s="31"/>
      <c r="AZ1060" s="31"/>
      <c r="BA1060" s="31"/>
      <c r="BB1060" s="31"/>
      <c r="BC1060" s="31"/>
      <c r="BD1060" s="31"/>
      <c r="BE1060" s="31"/>
      <c r="BF1060" s="31"/>
      <c r="BG1060" s="31"/>
      <c r="BH1060" s="31"/>
      <c r="BI1060" s="31"/>
    </row>
    <row r="1061" spans="38:61" x14ac:dyDescent="0.2">
      <c r="AL1061" s="31"/>
      <c r="AM1061" s="31"/>
      <c r="AN1061" s="31"/>
      <c r="AO1061" s="31"/>
      <c r="AP1061" s="31"/>
      <c r="AQ1061" s="31"/>
      <c r="AR1061" s="31"/>
      <c r="AS1061" s="31"/>
      <c r="AT1061" s="31"/>
      <c r="AU1061" s="31"/>
      <c r="AV1061" s="31"/>
      <c r="AW1061" s="31"/>
      <c r="AX1061" s="31"/>
      <c r="AY1061" s="31"/>
      <c r="AZ1061" s="31"/>
      <c r="BA1061" s="31"/>
      <c r="BB1061" s="31"/>
      <c r="BC1061" s="31"/>
      <c r="BD1061" s="31"/>
      <c r="BE1061" s="31"/>
      <c r="BF1061" s="31"/>
      <c r="BG1061" s="31"/>
      <c r="BH1061" s="31"/>
      <c r="BI1061" s="31"/>
    </row>
    <row r="1062" spans="38:61" x14ac:dyDescent="0.2">
      <c r="AL1062" s="31"/>
      <c r="AM1062" s="31"/>
      <c r="AN1062" s="31"/>
      <c r="AO1062" s="31"/>
      <c r="AP1062" s="31"/>
      <c r="AQ1062" s="31"/>
      <c r="AR1062" s="31"/>
      <c r="AS1062" s="31"/>
      <c r="AT1062" s="31"/>
      <c r="AU1062" s="31"/>
      <c r="AV1062" s="31"/>
      <c r="AW1062" s="31"/>
      <c r="AX1062" s="31"/>
      <c r="AY1062" s="31"/>
      <c r="AZ1062" s="31"/>
      <c r="BA1062" s="31"/>
      <c r="BB1062" s="31"/>
      <c r="BC1062" s="31"/>
      <c r="BD1062" s="31"/>
      <c r="BE1062" s="31"/>
      <c r="BF1062" s="31"/>
      <c r="BG1062" s="31"/>
      <c r="BH1062" s="31"/>
      <c r="BI1062" s="31"/>
    </row>
    <row r="1063" spans="38:61" x14ac:dyDescent="0.2">
      <c r="AL1063" s="31"/>
      <c r="AM1063" s="31"/>
      <c r="AN1063" s="31"/>
      <c r="AO1063" s="31"/>
      <c r="AP1063" s="31"/>
      <c r="AQ1063" s="31"/>
      <c r="AR1063" s="31"/>
      <c r="AS1063" s="31"/>
      <c r="AT1063" s="31"/>
      <c r="AU1063" s="31"/>
      <c r="AV1063" s="31"/>
      <c r="AW1063" s="31"/>
      <c r="AX1063" s="31"/>
      <c r="AY1063" s="31"/>
      <c r="AZ1063" s="31"/>
      <c r="BA1063" s="31"/>
      <c r="BB1063" s="31"/>
      <c r="BC1063" s="31"/>
      <c r="BD1063" s="31"/>
      <c r="BE1063" s="31"/>
      <c r="BF1063" s="31"/>
      <c r="BG1063" s="31"/>
      <c r="BH1063" s="31"/>
      <c r="BI1063" s="31"/>
    </row>
    <row r="1064" spans="38:61" x14ac:dyDescent="0.2">
      <c r="AL1064" s="31"/>
      <c r="AM1064" s="31"/>
      <c r="AN1064" s="31"/>
      <c r="AO1064" s="31"/>
      <c r="AP1064" s="31"/>
      <c r="AQ1064" s="31"/>
      <c r="AR1064" s="31"/>
      <c r="AS1064" s="31"/>
      <c r="AT1064" s="31"/>
      <c r="AU1064" s="31"/>
      <c r="AV1064" s="31"/>
      <c r="AW1064" s="31"/>
      <c r="AX1064" s="31"/>
      <c r="AY1064" s="31"/>
      <c r="AZ1064" s="31"/>
      <c r="BA1064" s="31"/>
      <c r="BB1064" s="31"/>
      <c r="BC1064" s="31"/>
      <c r="BD1064" s="31"/>
      <c r="BE1064" s="31"/>
      <c r="BF1064" s="31"/>
      <c r="BG1064" s="31"/>
      <c r="BH1064" s="31"/>
      <c r="BI1064" s="31"/>
    </row>
    <row r="1065" spans="38:61" x14ac:dyDescent="0.2">
      <c r="AL1065" s="31"/>
      <c r="AM1065" s="31"/>
      <c r="AN1065" s="31"/>
      <c r="AO1065" s="31"/>
      <c r="AP1065" s="31"/>
      <c r="AQ1065" s="31"/>
      <c r="AR1065" s="31"/>
      <c r="AS1065" s="31"/>
      <c r="AT1065" s="31"/>
      <c r="AU1065" s="31"/>
      <c r="AV1065" s="31"/>
      <c r="AW1065" s="31"/>
      <c r="AX1065" s="31"/>
      <c r="AY1065" s="31"/>
      <c r="AZ1065" s="31"/>
      <c r="BA1065" s="31"/>
      <c r="BB1065" s="31"/>
      <c r="BC1065" s="31"/>
      <c r="BD1065" s="31"/>
      <c r="BE1065" s="31"/>
      <c r="BF1065" s="31"/>
      <c r="BG1065" s="31"/>
      <c r="BH1065" s="31"/>
      <c r="BI1065" s="31"/>
    </row>
    <row r="1066" spans="38:61" x14ac:dyDescent="0.2">
      <c r="AL1066" s="31"/>
      <c r="AM1066" s="31"/>
      <c r="AN1066" s="31"/>
      <c r="AO1066" s="31"/>
      <c r="AP1066" s="31"/>
      <c r="AQ1066" s="31"/>
      <c r="AR1066" s="31"/>
      <c r="AS1066" s="31"/>
      <c r="AT1066" s="31"/>
      <c r="AU1066" s="31"/>
      <c r="AV1066" s="31"/>
      <c r="AW1066" s="31"/>
      <c r="AX1066" s="31"/>
      <c r="AY1066" s="31"/>
      <c r="AZ1066" s="31"/>
      <c r="BA1066" s="31"/>
      <c r="BB1066" s="31"/>
      <c r="BC1066" s="31"/>
      <c r="BD1066" s="31"/>
      <c r="BE1066" s="31"/>
      <c r="BF1066" s="31"/>
      <c r="BG1066" s="31"/>
      <c r="BH1066" s="31"/>
      <c r="BI1066" s="31"/>
    </row>
    <row r="1067" spans="38:61" x14ac:dyDescent="0.2">
      <c r="AL1067" s="31"/>
      <c r="AM1067" s="31"/>
      <c r="AN1067" s="31"/>
      <c r="AO1067" s="31"/>
      <c r="AP1067" s="31"/>
      <c r="AQ1067" s="31"/>
      <c r="AR1067" s="31"/>
      <c r="AS1067" s="31"/>
      <c r="AT1067" s="31"/>
      <c r="AU1067" s="31"/>
      <c r="AV1067" s="31"/>
      <c r="AW1067" s="31"/>
      <c r="AX1067" s="31"/>
      <c r="AY1067" s="31"/>
      <c r="AZ1067" s="31"/>
      <c r="BA1067" s="31"/>
      <c r="BB1067" s="31"/>
      <c r="BC1067" s="31"/>
      <c r="BD1067" s="31"/>
      <c r="BE1067" s="31"/>
      <c r="BF1067" s="31"/>
      <c r="BG1067" s="31"/>
      <c r="BH1067" s="31"/>
      <c r="BI1067" s="31"/>
    </row>
    <row r="1068" spans="38:61" x14ac:dyDescent="0.2">
      <c r="AL1068" s="31"/>
      <c r="AM1068" s="31"/>
      <c r="AN1068" s="31"/>
      <c r="AO1068" s="31"/>
      <c r="AP1068" s="31"/>
      <c r="AQ1068" s="31"/>
      <c r="AR1068" s="31"/>
      <c r="AS1068" s="31"/>
      <c r="AT1068" s="31"/>
      <c r="AU1068" s="31"/>
      <c r="AV1068" s="31"/>
      <c r="AW1068" s="31"/>
      <c r="AX1068" s="31"/>
      <c r="AY1068" s="31"/>
      <c r="AZ1068" s="31"/>
      <c r="BA1068" s="31"/>
      <c r="BB1068" s="31"/>
      <c r="BC1068" s="31"/>
      <c r="BD1068" s="31"/>
      <c r="BE1068" s="31"/>
      <c r="BF1068" s="31"/>
      <c r="BG1068" s="31"/>
      <c r="BH1068" s="31"/>
      <c r="BI1068" s="31"/>
    </row>
    <row r="1069" spans="38:61" x14ac:dyDescent="0.2">
      <c r="AL1069" s="31"/>
      <c r="AM1069" s="31"/>
      <c r="AN1069" s="31"/>
      <c r="AO1069" s="31"/>
      <c r="AP1069" s="31"/>
      <c r="AQ1069" s="31"/>
      <c r="AR1069" s="31"/>
      <c r="AS1069" s="31"/>
      <c r="AT1069" s="31"/>
      <c r="AU1069" s="31"/>
      <c r="AV1069" s="31"/>
      <c r="AW1069" s="31"/>
      <c r="AX1069" s="31"/>
      <c r="AY1069" s="31"/>
      <c r="AZ1069" s="31"/>
      <c r="BA1069" s="31"/>
      <c r="BB1069" s="31"/>
      <c r="BC1069" s="31"/>
      <c r="BD1069" s="31"/>
      <c r="BE1069" s="31"/>
      <c r="BF1069" s="31"/>
      <c r="BG1069" s="31"/>
      <c r="BH1069" s="31"/>
      <c r="BI1069" s="31"/>
    </row>
    <row r="1070" spans="38:61" x14ac:dyDescent="0.2">
      <c r="AL1070" s="31"/>
      <c r="AM1070" s="31"/>
      <c r="AN1070" s="31"/>
      <c r="AO1070" s="31"/>
      <c r="AP1070" s="31"/>
      <c r="AQ1070" s="31"/>
      <c r="AR1070" s="31"/>
      <c r="AS1070" s="31"/>
      <c r="AT1070" s="31"/>
      <c r="AU1070" s="31"/>
      <c r="AV1070" s="31"/>
      <c r="AW1070" s="31"/>
      <c r="AX1070" s="31"/>
      <c r="AY1070" s="31"/>
      <c r="AZ1070" s="31"/>
      <c r="BA1070" s="31"/>
      <c r="BB1070" s="31"/>
      <c r="BC1070" s="31"/>
      <c r="BD1070" s="31"/>
      <c r="BE1070" s="31"/>
      <c r="BF1070" s="31"/>
      <c r="BG1070" s="31"/>
      <c r="BH1070" s="31"/>
      <c r="BI1070" s="31"/>
    </row>
    <row r="1071" spans="38:61" x14ac:dyDescent="0.2">
      <c r="AL1071" s="31"/>
      <c r="AM1071" s="31"/>
      <c r="AN1071" s="31"/>
      <c r="AO1071" s="31"/>
      <c r="AP1071" s="31"/>
      <c r="AQ1071" s="31"/>
      <c r="AR1071" s="31"/>
      <c r="AS1071" s="31"/>
      <c r="AT1071" s="31"/>
      <c r="AU1071" s="31"/>
      <c r="AV1071" s="31"/>
      <c r="AW1071" s="31"/>
      <c r="AX1071" s="31"/>
      <c r="AY1071" s="31"/>
      <c r="AZ1071" s="31"/>
      <c r="BA1071" s="31"/>
      <c r="BB1071" s="31"/>
      <c r="BC1071" s="31"/>
      <c r="BD1071" s="31"/>
      <c r="BE1071" s="31"/>
      <c r="BF1071" s="31"/>
      <c r="BG1071" s="31"/>
      <c r="BH1071" s="31"/>
      <c r="BI1071" s="31"/>
    </row>
    <row r="1072" spans="38:61" x14ac:dyDescent="0.2">
      <c r="AL1072" s="31"/>
      <c r="AM1072" s="31"/>
      <c r="AN1072" s="31"/>
      <c r="AO1072" s="31"/>
      <c r="AP1072" s="31"/>
      <c r="AQ1072" s="31"/>
      <c r="AR1072" s="31"/>
      <c r="AS1072" s="31"/>
      <c r="AT1072" s="31"/>
      <c r="AU1072" s="31"/>
      <c r="AV1072" s="31"/>
      <c r="AW1072" s="31"/>
      <c r="AX1072" s="31"/>
      <c r="AY1072" s="31"/>
      <c r="AZ1072" s="31"/>
      <c r="BA1072" s="31"/>
      <c r="BB1072" s="31"/>
      <c r="BC1072" s="31"/>
      <c r="BD1072" s="31"/>
      <c r="BE1072" s="31"/>
      <c r="BF1072" s="31"/>
      <c r="BG1072" s="31"/>
      <c r="BH1072" s="31"/>
      <c r="BI1072" s="31"/>
    </row>
    <row r="1073" spans="38:61" x14ac:dyDescent="0.2">
      <c r="AL1073" s="31"/>
      <c r="AM1073" s="31"/>
      <c r="AN1073" s="31"/>
      <c r="AO1073" s="31"/>
      <c r="AP1073" s="31"/>
      <c r="AQ1073" s="31"/>
      <c r="AR1073" s="31"/>
      <c r="AS1073" s="31"/>
      <c r="AT1073" s="31"/>
      <c r="AU1073" s="31"/>
      <c r="AV1073" s="31"/>
      <c r="AW1073" s="31"/>
      <c r="AX1073" s="31"/>
      <c r="AY1073" s="31"/>
      <c r="AZ1073" s="31"/>
      <c r="BA1073" s="31"/>
      <c r="BB1073" s="31"/>
      <c r="BC1073" s="31"/>
      <c r="BD1073" s="31"/>
      <c r="BE1073" s="31"/>
      <c r="BF1073" s="31"/>
      <c r="BG1073" s="31"/>
      <c r="BH1073" s="31"/>
      <c r="BI1073" s="31"/>
    </row>
    <row r="1074" spans="38:61" x14ac:dyDescent="0.2">
      <c r="AL1074" s="31"/>
      <c r="AM1074" s="31"/>
      <c r="AN1074" s="31"/>
      <c r="AO1074" s="31"/>
      <c r="AP1074" s="31"/>
      <c r="AQ1074" s="31"/>
      <c r="AR1074" s="31"/>
      <c r="AS1074" s="31"/>
      <c r="AT1074" s="31"/>
      <c r="AU1074" s="31"/>
      <c r="AV1074" s="31"/>
      <c r="AW1074" s="31"/>
      <c r="AX1074" s="31"/>
      <c r="AY1074" s="31"/>
      <c r="AZ1074" s="31"/>
      <c r="BA1074" s="31"/>
      <c r="BB1074" s="31"/>
      <c r="BC1074" s="31"/>
      <c r="BD1074" s="31"/>
      <c r="BE1074" s="31"/>
      <c r="BF1074" s="31"/>
      <c r="BG1074" s="31"/>
      <c r="BH1074" s="31"/>
      <c r="BI1074" s="31"/>
    </row>
    <row r="1075" spans="38:61" x14ac:dyDescent="0.2">
      <c r="AL1075" s="31"/>
      <c r="AM1075" s="31"/>
      <c r="AN1075" s="31"/>
      <c r="AO1075" s="31"/>
      <c r="AP1075" s="31"/>
      <c r="AQ1075" s="31"/>
      <c r="AR1075" s="31"/>
      <c r="AS1075" s="31"/>
      <c r="AT1075" s="31"/>
      <c r="AU1075" s="31"/>
      <c r="AV1075" s="31"/>
      <c r="AW1075" s="31"/>
      <c r="AX1075" s="31"/>
      <c r="AY1075" s="31"/>
      <c r="AZ1075" s="31"/>
      <c r="BA1075" s="31"/>
      <c r="BB1075" s="31"/>
      <c r="BC1075" s="31"/>
      <c r="BD1075" s="31"/>
      <c r="BE1075" s="31"/>
      <c r="BF1075" s="31"/>
      <c r="BG1075" s="31"/>
      <c r="BH1075" s="31"/>
      <c r="BI1075" s="31"/>
    </row>
    <row r="1076" spans="38:61" x14ac:dyDescent="0.2">
      <c r="AL1076" s="31"/>
      <c r="AM1076" s="31"/>
      <c r="AN1076" s="31"/>
      <c r="AO1076" s="31"/>
      <c r="AP1076" s="31"/>
      <c r="AQ1076" s="31"/>
      <c r="AR1076" s="31"/>
      <c r="AS1076" s="31"/>
      <c r="AT1076" s="31"/>
      <c r="AU1076" s="31"/>
      <c r="AV1076" s="31"/>
      <c r="AW1076" s="31"/>
      <c r="AX1076" s="31"/>
      <c r="AY1076" s="31"/>
      <c r="AZ1076" s="31"/>
      <c r="BA1076" s="31"/>
      <c r="BB1076" s="31"/>
      <c r="BC1076" s="31"/>
      <c r="BD1076" s="31"/>
      <c r="BE1076" s="31"/>
      <c r="BF1076" s="31"/>
      <c r="BG1076" s="31"/>
      <c r="BH1076" s="31"/>
      <c r="BI1076" s="31"/>
    </row>
    <row r="1077" spans="38:61" x14ac:dyDescent="0.2">
      <c r="AL1077" s="31"/>
      <c r="AM1077" s="31"/>
      <c r="AN1077" s="31"/>
      <c r="AO1077" s="31"/>
      <c r="AP1077" s="31"/>
      <c r="AQ1077" s="31"/>
      <c r="AR1077" s="31"/>
      <c r="AS1077" s="31"/>
      <c r="AT1077" s="31"/>
      <c r="AU1077" s="31"/>
      <c r="AV1077" s="31"/>
      <c r="AW1077" s="31"/>
      <c r="AX1077" s="31"/>
      <c r="AY1077" s="31"/>
      <c r="AZ1077" s="31"/>
      <c r="BA1077" s="31"/>
      <c r="BB1077" s="31"/>
      <c r="BC1077" s="31"/>
      <c r="BD1077" s="31"/>
      <c r="BE1077" s="31"/>
      <c r="BF1077" s="31"/>
      <c r="BG1077" s="31"/>
      <c r="BH1077" s="31"/>
      <c r="BI1077" s="31"/>
    </row>
    <row r="1078" spans="38:61" x14ac:dyDescent="0.2">
      <c r="AL1078" s="31"/>
      <c r="AM1078" s="31"/>
      <c r="AN1078" s="31"/>
      <c r="AO1078" s="31"/>
      <c r="AP1078" s="31"/>
      <c r="AQ1078" s="31"/>
      <c r="AR1078" s="31"/>
      <c r="AS1078" s="31"/>
      <c r="AT1078" s="31"/>
      <c r="AU1078" s="31"/>
      <c r="AV1078" s="31"/>
      <c r="AW1078" s="31"/>
      <c r="AX1078" s="31"/>
      <c r="AY1078" s="31"/>
      <c r="AZ1078" s="31"/>
      <c r="BA1078" s="31"/>
      <c r="BB1078" s="31"/>
      <c r="BC1078" s="31"/>
      <c r="BD1078" s="31"/>
      <c r="BE1078" s="31"/>
      <c r="BF1078" s="31"/>
      <c r="BG1078" s="31"/>
      <c r="BH1078" s="31"/>
      <c r="BI1078" s="31"/>
    </row>
    <row r="1079" spans="38:61" x14ac:dyDescent="0.2">
      <c r="AL1079" s="31"/>
      <c r="AM1079" s="31"/>
      <c r="AN1079" s="31"/>
      <c r="AO1079" s="31"/>
      <c r="AP1079" s="31"/>
      <c r="AQ1079" s="31"/>
      <c r="AR1079" s="31"/>
      <c r="AS1079" s="31"/>
      <c r="AT1079" s="31"/>
      <c r="AU1079" s="31"/>
      <c r="AV1079" s="31"/>
      <c r="AW1079" s="31"/>
      <c r="AX1079" s="31"/>
      <c r="AY1079" s="31"/>
      <c r="AZ1079" s="31"/>
      <c r="BA1079" s="31"/>
      <c r="BB1079" s="31"/>
      <c r="BC1079" s="31"/>
      <c r="BD1079" s="31"/>
      <c r="BE1079" s="31"/>
      <c r="BF1079" s="31"/>
      <c r="BG1079" s="31"/>
      <c r="BH1079" s="31"/>
      <c r="BI1079" s="31"/>
    </row>
    <row r="1080" spans="38:61" x14ac:dyDescent="0.2">
      <c r="AL1080" s="31"/>
      <c r="AM1080" s="31"/>
      <c r="AN1080" s="31"/>
      <c r="AO1080" s="31"/>
      <c r="AP1080" s="31"/>
      <c r="AQ1080" s="31"/>
      <c r="AR1080" s="31"/>
      <c r="AS1080" s="31"/>
      <c r="AT1080" s="31"/>
      <c r="AU1080" s="31"/>
      <c r="AV1080" s="31"/>
      <c r="AW1080" s="31"/>
      <c r="AX1080" s="31"/>
      <c r="AY1080" s="31"/>
      <c r="AZ1080" s="31"/>
      <c r="BA1080" s="31"/>
      <c r="BB1080" s="31"/>
      <c r="BC1080" s="31"/>
      <c r="BD1080" s="31"/>
      <c r="BE1080" s="31"/>
      <c r="BF1080" s="31"/>
      <c r="BG1080" s="31"/>
      <c r="BH1080" s="31"/>
      <c r="BI1080" s="31"/>
    </row>
    <row r="1081" spans="38:61" x14ac:dyDescent="0.2">
      <c r="AL1081" s="31"/>
      <c r="AM1081" s="31"/>
      <c r="AN1081" s="31"/>
      <c r="AO1081" s="31"/>
      <c r="AP1081" s="31"/>
      <c r="AQ1081" s="31"/>
      <c r="AR1081" s="31"/>
      <c r="AS1081" s="31"/>
      <c r="AT1081" s="31"/>
      <c r="AU1081" s="31"/>
      <c r="AV1081" s="31"/>
      <c r="AW1081" s="31"/>
      <c r="AX1081" s="31"/>
      <c r="AY1081" s="31"/>
      <c r="AZ1081" s="31"/>
      <c r="BA1081" s="31"/>
      <c r="BB1081" s="31"/>
      <c r="BC1081" s="31"/>
      <c r="BD1081" s="31"/>
      <c r="BE1081" s="31"/>
      <c r="BF1081" s="31"/>
      <c r="BG1081" s="31"/>
      <c r="BH1081" s="31"/>
      <c r="BI1081" s="31"/>
    </row>
    <row r="1082" spans="38:61" x14ac:dyDescent="0.2">
      <c r="AL1082" s="31"/>
      <c r="AM1082" s="31"/>
      <c r="AN1082" s="31"/>
      <c r="AO1082" s="31"/>
      <c r="AP1082" s="31"/>
      <c r="AQ1082" s="31"/>
      <c r="AR1082" s="31"/>
      <c r="AS1082" s="31"/>
      <c r="AT1082" s="31"/>
      <c r="AU1082" s="31"/>
      <c r="AV1082" s="31"/>
      <c r="AW1082" s="31"/>
      <c r="AX1082" s="31"/>
      <c r="AY1082" s="31"/>
      <c r="AZ1082" s="31"/>
      <c r="BA1082" s="31"/>
      <c r="BB1082" s="31"/>
      <c r="BC1082" s="31"/>
      <c r="BD1082" s="31"/>
      <c r="BE1082" s="31"/>
      <c r="BF1082" s="31"/>
      <c r="BG1082" s="31"/>
      <c r="BH1082" s="31"/>
      <c r="BI1082" s="31"/>
    </row>
    <row r="1083" spans="38:61" x14ac:dyDescent="0.2">
      <c r="AL1083" s="31"/>
      <c r="AM1083" s="31"/>
      <c r="AN1083" s="31"/>
      <c r="AO1083" s="31"/>
      <c r="AP1083" s="31"/>
      <c r="AQ1083" s="31"/>
      <c r="AR1083" s="31"/>
      <c r="AS1083" s="31"/>
      <c r="AT1083" s="31"/>
      <c r="AU1083" s="31"/>
      <c r="AV1083" s="31"/>
      <c r="AW1083" s="31"/>
      <c r="AX1083" s="31"/>
      <c r="AY1083" s="31"/>
      <c r="AZ1083" s="31"/>
      <c r="BA1083" s="31"/>
      <c r="BB1083" s="31"/>
      <c r="BC1083" s="31"/>
      <c r="BD1083" s="31"/>
      <c r="BE1083" s="31"/>
      <c r="BF1083" s="31"/>
      <c r="BG1083" s="31"/>
      <c r="BH1083" s="31"/>
      <c r="BI1083" s="31"/>
    </row>
    <row r="1084" spans="38:61" x14ac:dyDescent="0.2">
      <c r="AL1084" s="31"/>
      <c r="AM1084" s="31"/>
      <c r="AN1084" s="31"/>
      <c r="AO1084" s="31"/>
      <c r="AP1084" s="31"/>
      <c r="AQ1084" s="31"/>
      <c r="AR1084" s="31"/>
      <c r="AS1084" s="31"/>
      <c r="AT1084" s="31"/>
      <c r="AU1084" s="31"/>
      <c r="AV1084" s="31"/>
      <c r="AW1084" s="31"/>
      <c r="AX1084" s="31"/>
      <c r="AY1084" s="31"/>
      <c r="AZ1084" s="31"/>
      <c r="BA1084" s="31"/>
      <c r="BB1084" s="31"/>
      <c r="BC1084" s="31"/>
      <c r="BD1084" s="31"/>
      <c r="BE1084" s="31"/>
      <c r="BF1084" s="31"/>
      <c r="BG1084" s="31"/>
      <c r="BH1084" s="31"/>
      <c r="BI1084" s="31"/>
    </row>
    <row r="1085" spans="38:61" x14ac:dyDescent="0.2">
      <c r="AL1085" s="31"/>
      <c r="AM1085" s="31"/>
      <c r="AN1085" s="31"/>
      <c r="AO1085" s="31"/>
      <c r="AP1085" s="31"/>
      <c r="AQ1085" s="31"/>
      <c r="AR1085" s="31"/>
      <c r="AS1085" s="31"/>
      <c r="AT1085" s="31"/>
      <c r="AU1085" s="31"/>
      <c r="AV1085" s="31"/>
      <c r="AW1085" s="31"/>
      <c r="AX1085" s="31"/>
      <c r="AY1085" s="31"/>
      <c r="AZ1085" s="31"/>
      <c r="BA1085" s="31"/>
      <c r="BB1085" s="31"/>
      <c r="BC1085" s="31"/>
      <c r="BD1085" s="31"/>
      <c r="BE1085" s="31"/>
      <c r="BF1085" s="31"/>
      <c r="BG1085" s="31"/>
      <c r="BH1085" s="31"/>
      <c r="BI1085" s="31"/>
    </row>
    <row r="1086" spans="38:61" x14ac:dyDescent="0.2">
      <c r="AL1086" s="31"/>
      <c r="AM1086" s="31"/>
      <c r="AN1086" s="31"/>
      <c r="AO1086" s="31"/>
      <c r="AP1086" s="31"/>
      <c r="AQ1086" s="31"/>
      <c r="AR1086" s="31"/>
      <c r="AS1086" s="31"/>
      <c r="AT1086" s="31"/>
      <c r="AU1086" s="31"/>
      <c r="AV1086" s="31"/>
      <c r="AW1086" s="31"/>
      <c r="AX1086" s="31"/>
      <c r="AY1086" s="31"/>
      <c r="AZ1086" s="31"/>
      <c r="BA1086" s="31"/>
      <c r="BB1086" s="31"/>
      <c r="BC1086" s="31"/>
      <c r="BD1086" s="31"/>
      <c r="BE1086" s="31"/>
      <c r="BF1086" s="31"/>
      <c r="BG1086" s="31"/>
      <c r="BH1086" s="31"/>
      <c r="BI1086" s="31"/>
    </row>
    <row r="1087" spans="38:61" x14ac:dyDescent="0.2">
      <c r="AL1087" s="31"/>
      <c r="AM1087" s="31"/>
      <c r="AN1087" s="31"/>
      <c r="AO1087" s="31"/>
      <c r="AP1087" s="31"/>
      <c r="AQ1087" s="31"/>
      <c r="AR1087" s="31"/>
      <c r="AS1087" s="31"/>
      <c r="AT1087" s="31"/>
      <c r="AU1087" s="31"/>
      <c r="AV1087" s="31"/>
      <c r="AW1087" s="31"/>
      <c r="AX1087" s="31"/>
      <c r="AY1087" s="31"/>
      <c r="AZ1087" s="31"/>
      <c r="BA1087" s="31"/>
      <c r="BB1087" s="31"/>
      <c r="BC1087" s="31"/>
      <c r="BD1087" s="31"/>
      <c r="BE1087" s="31"/>
      <c r="BF1087" s="31"/>
      <c r="BG1087" s="31"/>
      <c r="BH1087" s="31"/>
      <c r="BI1087" s="31"/>
    </row>
    <row r="1088" spans="38:61" x14ac:dyDescent="0.2">
      <c r="AL1088" s="31"/>
      <c r="AM1088" s="31"/>
      <c r="AN1088" s="31"/>
      <c r="AO1088" s="31"/>
      <c r="AP1088" s="31"/>
      <c r="AQ1088" s="31"/>
      <c r="AR1088" s="31"/>
      <c r="AS1088" s="31"/>
      <c r="AT1088" s="31"/>
      <c r="AU1088" s="31"/>
      <c r="AV1088" s="31"/>
      <c r="AW1088" s="31"/>
      <c r="AX1088" s="31"/>
      <c r="AY1088" s="31"/>
      <c r="AZ1088" s="31"/>
      <c r="BA1088" s="31"/>
      <c r="BB1088" s="31"/>
      <c r="BC1088" s="31"/>
      <c r="BD1088" s="31"/>
      <c r="BE1088" s="31"/>
      <c r="BF1088" s="31"/>
      <c r="BG1088" s="31"/>
      <c r="BH1088" s="31"/>
      <c r="BI1088" s="31"/>
    </row>
    <row r="1089" spans="38:61" x14ac:dyDescent="0.2">
      <c r="AL1089" s="31"/>
      <c r="AM1089" s="31"/>
      <c r="AN1089" s="31"/>
      <c r="AO1089" s="31"/>
      <c r="AP1089" s="31"/>
      <c r="AQ1089" s="31"/>
      <c r="AR1089" s="31"/>
      <c r="AS1089" s="31"/>
      <c r="AT1089" s="31"/>
      <c r="AU1089" s="31"/>
      <c r="AV1089" s="31"/>
      <c r="AW1089" s="31"/>
      <c r="AX1089" s="31"/>
      <c r="AY1089" s="31"/>
      <c r="AZ1089" s="31"/>
      <c r="BA1089" s="31"/>
      <c r="BB1089" s="31"/>
      <c r="BC1089" s="31"/>
      <c r="BD1089" s="31"/>
      <c r="BE1089" s="31"/>
      <c r="BF1089" s="31"/>
      <c r="BG1089" s="31"/>
      <c r="BH1089" s="31"/>
      <c r="BI1089" s="31"/>
    </row>
    <row r="1090" spans="38:61" x14ac:dyDescent="0.2">
      <c r="AL1090" s="31"/>
      <c r="AM1090" s="31"/>
      <c r="AN1090" s="31"/>
      <c r="AO1090" s="31"/>
      <c r="AP1090" s="31"/>
      <c r="AQ1090" s="31"/>
      <c r="AR1090" s="31"/>
      <c r="AS1090" s="31"/>
      <c r="AT1090" s="31"/>
      <c r="AU1090" s="31"/>
      <c r="AV1090" s="31"/>
      <c r="AW1090" s="31"/>
      <c r="AX1090" s="31"/>
      <c r="AY1090" s="31"/>
      <c r="AZ1090" s="31"/>
      <c r="BA1090" s="31"/>
      <c r="BB1090" s="31"/>
      <c r="BC1090" s="31"/>
      <c r="BD1090" s="31"/>
      <c r="BE1090" s="31"/>
      <c r="BF1090" s="31"/>
      <c r="BG1090" s="31"/>
      <c r="BH1090" s="31"/>
      <c r="BI1090" s="31"/>
    </row>
    <row r="1091" spans="38:61" x14ac:dyDescent="0.2">
      <c r="AL1091" s="31"/>
      <c r="AM1091" s="31"/>
      <c r="AN1091" s="31"/>
      <c r="AO1091" s="31"/>
      <c r="AP1091" s="31"/>
      <c r="AQ1091" s="31"/>
      <c r="AR1091" s="31"/>
      <c r="AS1091" s="31"/>
      <c r="AT1091" s="31"/>
      <c r="AU1091" s="31"/>
      <c r="AV1091" s="31"/>
      <c r="AW1091" s="31"/>
      <c r="AX1091" s="31"/>
      <c r="AY1091" s="31"/>
      <c r="AZ1091" s="31"/>
      <c r="BA1091" s="31"/>
      <c r="BB1091" s="31"/>
      <c r="BC1091" s="31"/>
      <c r="BD1091" s="31"/>
      <c r="BE1091" s="31"/>
      <c r="BF1091" s="31"/>
      <c r="BG1091" s="31"/>
      <c r="BH1091" s="31"/>
      <c r="BI1091" s="31"/>
    </row>
    <row r="1092" spans="38:61" x14ac:dyDescent="0.2">
      <c r="AL1092" s="31"/>
      <c r="AM1092" s="31"/>
      <c r="AN1092" s="31"/>
      <c r="AO1092" s="31"/>
      <c r="AP1092" s="31"/>
      <c r="AQ1092" s="31"/>
      <c r="AR1092" s="31"/>
      <c r="AS1092" s="31"/>
      <c r="AT1092" s="31"/>
      <c r="AU1092" s="31"/>
      <c r="AV1092" s="31"/>
      <c r="AW1092" s="31"/>
      <c r="AX1092" s="31"/>
      <c r="AY1092" s="31"/>
      <c r="AZ1092" s="31"/>
      <c r="BA1092" s="31"/>
      <c r="BB1092" s="31"/>
      <c r="BC1092" s="31"/>
      <c r="BD1092" s="31"/>
      <c r="BE1092" s="31"/>
      <c r="BF1092" s="31"/>
      <c r="BG1092" s="31"/>
      <c r="BH1092" s="31"/>
      <c r="BI1092" s="31"/>
    </row>
    <row r="1093" spans="38:61" x14ac:dyDescent="0.2">
      <c r="AL1093" s="31"/>
      <c r="AM1093" s="31"/>
      <c r="AN1093" s="31"/>
      <c r="AO1093" s="31"/>
      <c r="AP1093" s="31"/>
      <c r="AQ1093" s="31"/>
      <c r="AR1093" s="31"/>
      <c r="AS1093" s="31"/>
      <c r="AT1093" s="31"/>
      <c r="AU1093" s="31"/>
      <c r="AV1093" s="31"/>
      <c r="AW1093" s="31"/>
      <c r="AX1093" s="31"/>
      <c r="AY1093" s="31"/>
      <c r="AZ1093" s="31"/>
      <c r="BA1093" s="31"/>
      <c r="BB1093" s="31"/>
      <c r="BC1093" s="31"/>
      <c r="BD1093" s="31"/>
      <c r="BE1093" s="31"/>
      <c r="BF1093" s="31"/>
      <c r="BG1093" s="31"/>
      <c r="BH1093" s="31"/>
      <c r="BI1093" s="31"/>
    </row>
    <row r="1094" spans="38:61" x14ac:dyDescent="0.2">
      <c r="AL1094" s="31"/>
      <c r="AM1094" s="31"/>
      <c r="AN1094" s="31"/>
      <c r="AO1094" s="31"/>
      <c r="AP1094" s="31"/>
      <c r="AQ1094" s="31"/>
      <c r="AR1094" s="31"/>
      <c r="AS1094" s="31"/>
      <c r="AT1094" s="31"/>
      <c r="AU1094" s="31"/>
      <c r="AV1094" s="31"/>
      <c r="AW1094" s="31"/>
      <c r="AX1094" s="31"/>
      <c r="AY1094" s="31"/>
      <c r="AZ1094" s="31"/>
      <c r="BA1094" s="31"/>
      <c r="BB1094" s="31"/>
      <c r="BC1094" s="31"/>
      <c r="BD1094" s="31"/>
      <c r="BE1094" s="31"/>
      <c r="BF1094" s="31"/>
      <c r="BG1094" s="31"/>
      <c r="BH1094" s="31"/>
      <c r="BI1094" s="31"/>
    </row>
    <row r="1095" spans="38:61" x14ac:dyDescent="0.2">
      <c r="AL1095" s="31"/>
      <c r="AM1095" s="31"/>
      <c r="AN1095" s="31"/>
      <c r="AO1095" s="31"/>
      <c r="AP1095" s="31"/>
      <c r="AQ1095" s="31"/>
      <c r="AR1095" s="31"/>
      <c r="AS1095" s="31"/>
      <c r="AT1095" s="31"/>
      <c r="AU1095" s="31"/>
      <c r="AV1095" s="31"/>
      <c r="AW1095" s="31"/>
      <c r="AX1095" s="31"/>
      <c r="AY1095" s="31"/>
      <c r="AZ1095" s="31"/>
      <c r="BA1095" s="31"/>
      <c r="BB1095" s="31"/>
      <c r="BC1095" s="31"/>
      <c r="BD1095" s="31"/>
      <c r="BE1095" s="31"/>
      <c r="BF1095" s="31"/>
      <c r="BG1095" s="31"/>
      <c r="BH1095" s="31"/>
      <c r="BI1095" s="31"/>
    </row>
    <row r="1096" spans="38:61" x14ac:dyDescent="0.2">
      <c r="AL1096" s="31"/>
      <c r="AM1096" s="31"/>
      <c r="AN1096" s="31"/>
      <c r="AO1096" s="31"/>
      <c r="AP1096" s="31"/>
      <c r="AQ1096" s="31"/>
      <c r="AR1096" s="31"/>
      <c r="AS1096" s="31"/>
      <c r="AT1096" s="31"/>
      <c r="AU1096" s="31"/>
      <c r="AV1096" s="31"/>
      <c r="AW1096" s="31"/>
      <c r="AX1096" s="31"/>
      <c r="AY1096" s="31"/>
      <c r="AZ1096" s="31"/>
      <c r="BA1096" s="31"/>
      <c r="BB1096" s="31"/>
      <c r="BC1096" s="31"/>
      <c r="BD1096" s="31"/>
      <c r="BE1096" s="31"/>
      <c r="BF1096" s="31"/>
      <c r="BG1096" s="31"/>
      <c r="BH1096" s="31"/>
      <c r="BI1096" s="31"/>
    </row>
    <row r="1097" spans="38:61" x14ac:dyDescent="0.2">
      <c r="AL1097" s="31"/>
      <c r="AM1097" s="31"/>
      <c r="AN1097" s="31"/>
      <c r="AO1097" s="31"/>
      <c r="AP1097" s="31"/>
      <c r="AQ1097" s="31"/>
      <c r="AR1097" s="31"/>
      <c r="AS1097" s="31"/>
      <c r="AT1097" s="31"/>
      <c r="AU1097" s="31"/>
      <c r="AV1097" s="31"/>
      <c r="AW1097" s="31"/>
      <c r="AX1097" s="31"/>
      <c r="AY1097" s="31"/>
      <c r="AZ1097" s="31"/>
      <c r="BA1097" s="31"/>
      <c r="BB1097" s="31"/>
      <c r="BC1097" s="31"/>
      <c r="BD1097" s="31"/>
      <c r="BE1097" s="31"/>
      <c r="BF1097" s="31"/>
      <c r="BG1097" s="31"/>
      <c r="BH1097" s="31"/>
      <c r="BI1097" s="31"/>
    </row>
    <row r="1098" spans="38:61" x14ac:dyDescent="0.2">
      <c r="AL1098" s="31"/>
      <c r="AM1098" s="31"/>
      <c r="AN1098" s="31"/>
      <c r="AO1098" s="31"/>
      <c r="AP1098" s="31"/>
      <c r="AQ1098" s="31"/>
      <c r="AR1098" s="31"/>
      <c r="AS1098" s="31"/>
      <c r="AT1098" s="31"/>
      <c r="AU1098" s="31"/>
      <c r="AV1098" s="31"/>
      <c r="AW1098" s="31"/>
      <c r="AX1098" s="31"/>
      <c r="AY1098" s="31"/>
      <c r="AZ1098" s="31"/>
      <c r="BA1098" s="31"/>
      <c r="BB1098" s="31"/>
      <c r="BC1098" s="31"/>
      <c r="BD1098" s="31"/>
      <c r="BE1098" s="31"/>
      <c r="BF1098" s="31"/>
      <c r="BG1098" s="31"/>
      <c r="BH1098" s="31"/>
      <c r="BI1098" s="31"/>
    </row>
    <row r="1099" spans="38:61" x14ac:dyDescent="0.2">
      <c r="AL1099" s="31"/>
      <c r="AM1099" s="31"/>
      <c r="AN1099" s="31"/>
      <c r="AO1099" s="31"/>
      <c r="AP1099" s="31"/>
      <c r="AQ1099" s="31"/>
      <c r="AR1099" s="31"/>
      <c r="AS1099" s="31"/>
      <c r="AT1099" s="31"/>
      <c r="AU1099" s="31"/>
      <c r="AV1099" s="31"/>
      <c r="AW1099" s="31"/>
      <c r="AX1099" s="31"/>
      <c r="AY1099" s="31"/>
      <c r="AZ1099" s="31"/>
      <c r="BA1099" s="31"/>
      <c r="BB1099" s="31"/>
      <c r="BC1099" s="31"/>
      <c r="BD1099" s="31"/>
      <c r="BE1099" s="31"/>
      <c r="BF1099" s="31"/>
      <c r="BG1099" s="31"/>
      <c r="BH1099" s="31"/>
      <c r="BI1099" s="31"/>
    </row>
    <row r="1100" spans="38:61" x14ac:dyDescent="0.2">
      <c r="AL1100" s="31"/>
      <c r="AM1100" s="31"/>
      <c r="AN1100" s="31"/>
      <c r="AO1100" s="31"/>
      <c r="AP1100" s="31"/>
      <c r="AQ1100" s="31"/>
      <c r="AR1100" s="31"/>
      <c r="AS1100" s="31"/>
      <c r="AT1100" s="31"/>
      <c r="AU1100" s="31"/>
      <c r="AV1100" s="31"/>
      <c r="AW1100" s="31"/>
      <c r="AX1100" s="31"/>
      <c r="AY1100" s="31"/>
      <c r="AZ1100" s="31"/>
      <c r="BA1100" s="31"/>
      <c r="BB1100" s="31"/>
      <c r="BC1100" s="31"/>
      <c r="BD1100" s="31"/>
      <c r="BE1100" s="31"/>
      <c r="BF1100" s="31"/>
      <c r="BG1100" s="31"/>
      <c r="BH1100" s="31"/>
      <c r="BI1100" s="31"/>
    </row>
    <row r="1101" spans="38:61" x14ac:dyDescent="0.2">
      <c r="AL1101" s="31"/>
      <c r="AM1101" s="31"/>
      <c r="AN1101" s="31"/>
      <c r="AO1101" s="31"/>
      <c r="AP1101" s="31"/>
      <c r="AQ1101" s="31"/>
      <c r="AR1101" s="31"/>
      <c r="AS1101" s="31"/>
      <c r="AT1101" s="31"/>
      <c r="AU1101" s="31"/>
      <c r="AV1101" s="31"/>
      <c r="AW1101" s="31"/>
      <c r="AX1101" s="31"/>
      <c r="AY1101" s="31"/>
      <c r="AZ1101" s="31"/>
      <c r="BA1101" s="31"/>
      <c r="BB1101" s="31"/>
      <c r="BC1101" s="31"/>
      <c r="BD1101" s="31"/>
      <c r="BE1101" s="31"/>
      <c r="BF1101" s="31"/>
      <c r="BG1101" s="31"/>
      <c r="BH1101" s="31"/>
      <c r="BI1101" s="31"/>
    </row>
    <row r="1102" spans="38:61" x14ac:dyDescent="0.2">
      <c r="AL1102" s="31"/>
      <c r="AM1102" s="31"/>
      <c r="AN1102" s="31"/>
      <c r="AO1102" s="31"/>
      <c r="AP1102" s="31"/>
      <c r="AQ1102" s="31"/>
      <c r="AR1102" s="31"/>
      <c r="AS1102" s="31"/>
      <c r="AT1102" s="31"/>
      <c r="AU1102" s="31"/>
      <c r="AV1102" s="31"/>
      <c r="AW1102" s="31"/>
      <c r="AX1102" s="31"/>
      <c r="AY1102" s="31"/>
      <c r="AZ1102" s="31"/>
      <c r="BA1102" s="31"/>
      <c r="BB1102" s="31"/>
      <c r="BC1102" s="31"/>
      <c r="BD1102" s="31"/>
      <c r="BE1102" s="31"/>
      <c r="BF1102" s="31"/>
      <c r="BG1102" s="31"/>
      <c r="BH1102" s="31"/>
      <c r="BI1102" s="31"/>
    </row>
    <row r="1103" spans="38:61" x14ac:dyDescent="0.2">
      <c r="AL1103" s="31"/>
      <c r="AM1103" s="31"/>
      <c r="AN1103" s="31"/>
      <c r="AO1103" s="31"/>
      <c r="AP1103" s="31"/>
      <c r="AQ1103" s="31"/>
      <c r="AR1103" s="31"/>
      <c r="AS1103" s="31"/>
      <c r="AT1103" s="31"/>
      <c r="AU1103" s="31"/>
      <c r="AV1103" s="31"/>
      <c r="AW1103" s="31"/>
      <c r="AX1103" s="31"/>
      <c r="AY1103" s="31"/>
      <c r="AZ1103" s="31"/>
      <c r="BA1103" s="31"/>
      <c r="BB1103" s="31"/>
      <c r="BC1103" s="31"/>
      <c r="BD1103" s="31"/>
      <c r="BE1103" s="31"/>
      <c r="BF1103" s="31"/>
      <c r="BG1103" s="31"/>
      <c r="BH1103" s="31"/>
      <c r="BI1103" s="31"/>
    </row>
    <row r="1104" spans="38:61" x14ac:dyDescent="0.2">
      <c r="AL1104" s="31"/>
      <c r="AM1104" s="31"/>
      <c r="AN1104" s="31"/>
      <c r="AO1104" s="31"/>
      <c r="AP1104" s="31"/>
      <c r="AQ1104" s="31"/>
      <c r="AR1104" s="31"/>
      <c r="AS1104" s="31"/>
      <c r="AT1104" s="31"/>
      <c r="AU1104" s="31"/>
      <c r="AV1104" s="31"/>
      <c r="AW1104" s="31"/>
      <c r="AX1104" s="31"/>
      <c r="AY1104" s="31"/>
      <c r="AZ1104" s="31"/>
      <c r="BA1104" s="31"/>
      <c r="BB1104" s="31"/>
      <c r="BC1104" s="31"/>
      <c r="BD1104" s="31"/>
      <c r="BE1104" s="31"/>
      <c r="BF1104" s="31"/>
      <c r="BG1104" s="31"/>
      <c r="BH1104" s="31"/>
      <c r="BI1104" s="31"/>
    </row>
    <row r="1105" spans="38:61" x14ac:dyDescent="0.2">
      <c r="AL1105" s="31"/>
      <c r="AM1105" s="31"/>
      <c r="AN1105" s="31"/>
      <c r="AO1105" s="31"/>
      <c r="AP1105" s="31"/>
      <c r="AQ1105" s="31"/>
      <c r="AR1105" s="31"/>
      <c r="AS1105" s="31"/>
      <c r="AT1105" s="31"/>
      <c r="AU1105" s="31"/>
      <c r="AV1105" s="31"/>
      <c r="AW1105" s="31"/>
      <c r="AX1105" s="31"/>
      <c r="AY1105" s="31"/>
      <c r="AZ1105" s="31"/>
      <c r="BA1105" s="31"/>
      <c r="BB1105" s="31"/>
      <c r="BC1105" s="31"/>
      <c r="BD1105" s="31"/>
      <c r="BE1105" s="31"/>
      <c r="BF1105" s="31"/>
      <c r="BG1105" s="31"/>
      <c r="BH1105" s="31"/>
      <c r="BI1105" s="31"/>
    </row>
    <row r="1106" spans="38:61" x14ac:dyDescent="0.2">
      <c r="AL1106" s="31"/>
      <c r="AM1106" s="31"/>
      <c r="AN1106" s="31"/>
      <c r="AO1106" s="31"/>
      <c r="AP1106" s="31"/>
      <c r="AQ1106" s="31"/>
      <c r="AR1106" s="31"/>
      <c r="AS1106" s="31"/>
      <c r="AT1106" s="31"/>
      <c r="AU1106" s="31"/>
      <c r="AV1106" s="31"/>
      <c r="AW1106" s="31"/>
      <c r="AX1106" s="31"/>
      <c r="AY1106" s="31"/>
      <c r="AZ1106" s="31"/>
      <c r="BA1106" s="31"/>
      <c r="BB1106" s="31"/>
      <c r="BC1106" s="31"/>
      <c r="BD1106" s="31"/>
      <c r="BE1106" s="31"/>
      <c r="BF1106" s="31"/>
      <c r="BG1106" s="31"/>
      <c r="BH1106" s="31"/>
      <c r="BI1106" s="31"/>
    </row>
    <row r="1107" spans="38:61" x14ac:dyDescent="0.2">
      <c r="AL1107" s="31"/>
      <c r="AM1107" s="31"/>
      <c r="AN1107" s="31"/>
      <c r="AO1107" s="31"/>
      <c r="AP1107" s="31"/>
      <c r="AQ1107" s="31"/>
      <c r="AR1107" s="31"/>
      <c r="AS1107" s="31"/>
      <c r="AT1107" s="31"/>
      <c r="AU1107" s="31"/>
      <c r="AV1107" s="31"/>
      <c r="AW1107" s="31"/>
      <c r="AX1107" s="31"/>
      <c r="AY1107" s="31"/>
      <c r="AZ1107" s="31"/>
      <c r="BA1107" s="31"/>
      <c r="BB1107" s="31"/>
      <c r="BC1107" s="31"/>
      <c r="BD1107" s="31"/>
      <c r="BE1107" s="31"/>
      <c r="BF1107" s="31"/>
      <c r="BG1107" s="31"/>
      <c r="BH1107" s="31"/>
      <c r="BI1107" s="31"/>
    </row>
    <row r="1108" spans="38:61" x14ac:dyDescent="0.2">
      <c r="AL1108" s="31"/>
      <c r="AM1108" s="31"/>
      <c r="AN1108" s="31"/>
      <c r="AO1108" s="31"/>
      <c r="AP1108" s="31"/>
      <c r="AQ1108" s="31"/>
      <c r="AR1108" s="31"/>
      <c r="AS1108" s="31"/>
      <c r="AT1108" s="31"/>
      <c r="AU1108" s="31"/>
      <c r="AV1108" s="31"/>
      <c r="AW1108" s="31"/>
      <c r="AX1108" s="31"/>
      <c r="AY1108" s="31"/>
      <c r="AZ1108" s="31"/>
      <c r="BA1108" s="31"/>
      <c r="BB1108" s="31"/>
      <c r="BC1108" s="31"/>
      <c r="BD1108" s="31"/>
      <c r="BE1108" s="31"/>
      <c r="BF1108" s="31"/>
      <c r="BG1108" s="31"/>
      <c r="BH1108" s="31"/>
      <c r="BI1108" s="31"/>
    </row>
    <row r="1109" spans="38:61" x14ac:dyDescent="0.2">
      <c r="AL1109" s="31"/>
      <c r="AM1109" s="31"/>
      <c r="AN1109" s="31"/>
      <c r="AO1109" s="31"/>
      <c r="AP1109" s="31"/>
      <c r="AQ1109" s="31"/>
      <c r="AR1109" s="31"/>
      <c r="AS1109" s="31"/>
      <c r="AT1109" s="31"/>
      <c r="AU1109" s="31"/>
      <c r="AV1109" s="31"/>
      <c r="AW1109" s="31"/>
      <c r="AX1109" s="31"/>
      <c r="AY1109" s="31"/>
      <c r="AZ1109" s="31"/>
      <c r="BA1109" s="31"/>
      <c r="BB1109" s="31"/>
      <c r="BC1109" s="31"/>
      <c r="BD1109" s="31"/>
      <c r="BE1109" s="31"/>
      <c r="BF1109" s="31"/>
      <c r="BG1109" s="31"/>
      <c r="BH1109" s="31"/>
      <c r="BI1109" s="31"/>
    </row>
    <row r="1110" spans="38:61" x14ac:dyDescent="0.2">
      <c r="AL1110" s="31"/>
      <c r="AM1110" s="31"/>
      <c r="AN1110" s="31"/>
      <c r="AO1110" s="31"/>
      <c r="AP1110" s="31"/>
      <c r="AQ1110" s="31"/>
      <c r="AR1110" s="31"/>
      <c r="AS1110" s="31"/>
      <c r="AT1110" s="31"/>
      <c r="AU1110" s="31"/>
      <c r="AV1110" s="31"/>
      <c r="AW1110" s="31"/>
      <c r="AX1110" s="31"/>
      <c r="AY1110" s="31"/>
      <c r="AZ1110" s="31"/>
      <c r="BA1110" s="31"/>
      <c r="BB1110" s="31"/>
      <c r="BC1110" s="31"/>
      <c r="BD1110" s="31"/>
      <c r="BE1110" s="31"/>
      <c r="BF1110" s="31"/>
      <c r="BG1110" s="31"/>
      <c r="BH1110" s="31"/>
      <c r="BI1110" s="31"/>
    </row>
    <row r="1111" spans="38:61" x14ac:dyDescent="0.2">
      <c r="AL1111" s="31"/>
      <c r="AM1111" s="31"/>
      <c r="AN1111" s="31"/>
      <c r="AO1111" s="31"/>
      <c r="AP1111" s="31"/>
      <c r="AQ1111" s="31"/>
      <c r="AR1111" s="31"/>
      <c r="AS1111" s="31"/>
      <c r="AT1111" s="31"/>
      <c r="AU1111" s="31"/>
      <c r="AV1111" s="31"/>
      <c r="AW1111" s="31"/>
      <c r="AX1111" s="31"/>
      <c r="AY1111" s="31"/>
      <c r="AZ1111" s="31"/>
      <c r="BA1111" s="31"/>
      <c r="BB1111" s="31"/>
      <c r="BC1111" s="31"/>
      <c r="BD1111" s="31"/>
      <c r="BE1111" s="31"/>
      <c r="BF1111" s="31"/>
      <c r="BG1111" s="31"/>
      <c r="BH1111" s="31"/>
      <c r="BI1111" s="31"/>
    </row>
    <row r="1112" spans="38:61" x14ac:dyDescent="0.2">
      <c r="AL1112" s="31"/>
      <c r="AM1112" s="31"/>
      <c r="AN1112" s="31"/>
      <c r="AO1112" s="31"/>
      <c r="AP1112" s="31"/>
      <c r="AQ1112" s="31"/>
      <c r="AR1112" s="31"/>
      <c r="AS1112" s="31"/>
      <c r="AT1112" s="31"/>
      <c r="AU1112" s="31"/>
      <c r="AV1112" s="31"/>
      <c r="AW1112" s="31"/>
      <c r="AX1112" s="31"/>
      <c r="AY1112" s="31"/>
      <c r="AZ1112" s="31"/>
      <c r="BA1112" s="31"/>
      <c r="BB1112" s="31"/>
      <c r="BC1112" s="31"/>
      <c r="BD1112" s="31"/>
      <c r="BE1112" s="31"/>
      <c r="BF1112" s="31"/>
      <c r="BG1112" s="31"/>
      <c r="BH1112" s="31"/>
      <c r="BI1112" s="31"/>
    </row>
    <row r="1113" spans="38:61" x14ac:dyDescent="0.2">
      <c r="AL1113" s="31"/>
      <c r="AM1113" s="31"/>
      <c r="AN1113" s="31"/>
      <c r="AO1113" s="31"/>
      <c r="AP1113" s="31"/>
      <c r="AQ1113" s="31"/>
      <c r="AR1113" s="31"/>
      <c r="AS1113" s="31"/>
      <c r="AT1113" s="31"/>
      <c r="AU1113" s="31"/>
      <c r="AV1113" s="31"/>
      <c r="AW1113" s="31"/>
      <c r="AX1113" s="31"/>
      <c r="AY1113" s="31"/>
      <c r="AZ1113" s="31"/>
      <c r="BA1113" s="31"/>
      <c r="BB1113" s="31"/>
      <c r="BC1113" s="31"/>
      <c r="BD1113" s="31"/>
      <c r="BE1113" s="31"/>
      <c r="BF1113" s="31"/>
      <c r="BG1113" s="31"/>
      <c r="BH1113" s="31"/>
      <c r="BI1113" s="31"/>
    </row>
    <row r="1114" spans="38:61" x14ac:dyDescent="0.2">
      <c r="AL1114" s="31"/>
      <c r="AM1114" s="31"/>
      <c r="AN1114" s="31"/>
      <c r="AO1114" s="31"/>
      <c r="AP1114" s="31"/>
      <c r="AQ1114" s="31"/>
      <c r="AR1114" s="31"/>
      <c r="AS1114" s="31"/>
      <c r="AT1114" s="31"/>
      <c r="AU1114" s="31"/>
      <c r="AV1114" s="31"/>
      <c r="AW1114" s="31"/>
      <c r="AX1114" s="31"/>
      <c r="AY1114" s="31"/>
      <c r="AZ1114" s="31"/>
      <c r="BA1114" s="31"/>
      <c r="BB1114" s="31"/>
      <c r="BC1114" s="31"/>
      <c r="BD1114" s="31"/>
      <c r="BE1114" s="31"/>
      <c r="BF1114" s="31"/>
      <c r="BG1114" s="31"/>
      <c r="BH1114" s="31"/>
      <c r="BI1114" s="31"/>
    </row>
    <row r="1115" spans="38:61" x14ac:dyDescent="0.2">
      <c r="AL1115" s="31"/>
      <c r="AM1115" s="31"/>
      <c r="AN1115" s="31"/>
      <c r="AO1115" s="31"/>
      <c r="AP1115" s="31"/>
      <c r="AQ1115" s="31"/>
      <c r="AR1115" s="31"/>
      <c r="AS1115" s="31"/>
      <c r="AT1115" s="31"/>
      <c r="AU1115" s="31"/>
      <c r="AV1115" s="31"/>
      <c r="AW1115" s="31"/>
      <c r="AX1115" s="31"/>
      <c r="AY1115" s="31"/>
      <c r="AZ1115" s="31"/>
      <c r="BA1115" s="31"/>
      <c r="BB1115" s="31"/>
      <c r="BC1115" s="31"/>
      <c r="BD1115" s="31"/>
      <c r="BE1115" s="31"/>
      <c r="BF1115" s="31"/>
      <c r="BG1115" s="31"/>
      <c r="BH1115" s="31"/>
      <c r="BI1115" s="31"/>
    </row>
    <row r="1116" spans="38:61" x14ac:dyDescent="0.2">
      <c r="AL1116" s="31"/>
      <c r="AM1116" s="31"/>
      <c r="AN1116" s="31"/>
      <c r="AO1116" s="31"/>
      <c r="AP1116" s="31"/>
      <c r="AQ1116" s="31"/>
      <c r="AR1116" s="31"/>
      <c r="AS1116" s="31"/>
      <c r="AT1116" s="31"/>
      <c r="AU1116" s="31"/>
      <c r="AV1116" s="31"/>
      <c r="AW1116" s="31"/>
      <c r="AX1116" s="31"/>
      <c r="AY1116" s="31"/>
      <c r="AZ1116" s="31"/>
      <c r="BA1116" s="31"/>
      <c r="BB1116" s="31"/>
      <c r="BC1116" s="31"/>
      <c r="BD1116" s="31"/>
      <c r="BE1116" s="31"/>
      <c r="BF1116" s="31"/>
      <c r="BG1116" s="31"/>
      <c r="BH1116" s="31"/>
      <c r="BI1116" s="31"/>
    </row>
    <row r="1117" spans="38:61" x14ac:dyDescent="0.2">
      <c r="AL1117" s="31"/>
      <c r="AM1117" s="31"/>
      <c r="AN1117" s="31"/>
      <c r="AO1117" s="31"/>
      <c r="AP1117" s="31"/>
      <c r="AQ1117" s="31"/>
      <c r="AR1117" s="31"/>
      <c r="AS1117" s="31"/>
      <c r="AT1117" s="31"/>
      <c r="AU1117" s="31"/>
      <c r="AV1117" s="31"/>
      <c r="AW1117" s="31"/>
      <c r="AX1117" s="31"/>
      <c r="AY1117" s="31"/>
      <c r="AZ1117" s="31"/>
      <c r="BA1117" s="31"/>
      <c r="BB1117" s="31"/>
      <c r="BC1117" s="31"/>
      <c r="BD1117" s="31"/>
      <c r="BE1117" s="31"/>
      <c r="BF1117" s="31"/>
      <c r="BG1117" s="31"/>
      <c r="BH1117" s="31"/>
      <c r="BI1117" s="31"/>
    </row>
    <row r="1118" spans="38:61" x14ac:dyDescent="0.2">
      <c r="AL1118" s="31"/>
      <c r="AM1118" s="31"/>
      <c r="AN1118" s="31"/>
      <c r="AO1118" s="31"/>
      <c r="AP1118" s="31"/>
      <c r="AQ1118" s="31"/>
      <c r="AR1118" s="31"/>
      <c r="AS1118" s="31"/>
      <c r="AT1118" s="31"/>
      <c r="AU1118" s="31"/>
      <c r="AV1118" s="31"/>
      <c r="AW1118" s="31"/>
      <c r="AX1118" s="31"/>
      <c r="AY1118" s="31"/>
      <c r="AZ1118" s="31"/>
      <c r="BA1118" s="31"/>
      <c r="BB1118" s="31"/>
      <c r="BC1118" s="31"/>
      <c r="BD1118" s="31"/>
      <c r="BE1118" s="31"/>
      <c r="BF1118" s="31"/>
      <c r="BG1118" s="31"/>
      <c r="BH1118" s="31"/>
      <c r="BI1118" s="31"/>
    </row>
    <row r="1119" spans="38:61" x14ac:dyDescent="0.2">
      <c r="AL1119" s="31"/>
      <c r="AM1119" s="31"/>
      <c r="AN1119" s="31"/>
      <c r="AO1119" s="31"/>
      <c r="AP1119" s="31"/>
      <c r="AQ1119" s="31"/>
      <c r="AR1119" s="31"/>
      <c r="AS1119" s="31"/>
      <c r="AT1119" s="31"/>
      <c r="AU1119" s="31"/>
      <c r="AV1119" s="31"/>
      <c r="AW1119" s="31"/>
      <c r="AX1119" s="31"/>
      <c r="AY1119" s="31"/>
      <c r="AZ1119" s="31"/>
      <c r="BA1119" s="31"/>
      <c r="BB1119" s="31"/>
      <c r="BC1119" s="31"/>
      <c r="BD1119" s="31"/>
      <c r="BE1119" s="31"/>
      <c r="BF1119" s="31"/>
      <c r="BG1119" s="31"/>
      <c r="BH1119" s="31"/>
      <c r="BI1119" s="31"/>
    </row>
    <row r="1120" spans="38:61" x14ac:dyDescent="0.2">
      <c r="AL1120" s="31"/>
      <c r="AM1120" s="31"/>
      <c r="AN1120" s="31"/>
      <c r="AO1120" s="31"/>
      <c r="AP1120" s="31"/>
      <c r="AQ1120" s="31"/>
      <c r="AR1120" s="31"/>
      <c r="AS1120" s="31"/>
      <c r="AT1120" s="31"/>
      <c r="AU1120" s="31"/>
      <c r="AV1120" s="31"/>
      <c r="AW1120" s="31"/>
      <c r="AX1120" s="31"/>
      <c r="AY1120" s="31"/>
      <c r="AZ1120" s="31"/>
      <c r="BA1120" s="31"/>
      <c r="BB1120" s="31"/>
      <c r="BC1120" s="31"/>
      <c r="BD1120" s="31"/>
      <c r="BE1120" s="31"/>
      <c r="BF1120" s="31"/>
      <c r="BG1120" s="31"/>
      <c r="BH1120" s="31"/>
      <c r="BI1120" s="31"/>
    </row>
    <row r="1121" spans="38:61" x14ac:dyDescent="0.2">
      <c r="AL1121" s="31"/>
      <c r="AM1121" s="31"/>
      <c r="AN1121" s="31"/>
      <c r="AO1121" s="31"/>
      <c r="AP1121" s="31"/>
      <c r="AQ1121" s="31"/>
      <c r="AR1121" s="31"/>
      <c r="AS1121" s="31"/>
      <c r="AT1121" s="31"/>
      <c r="AU1121" s="31"/>
      <c r="AV1121" s="31"/>
      <c r="AW1121" s="31"/>
      <c r="AX1121" s="31"/>
      <c r="AY1121" s="31"/>
      <c r="AZ1121" s="31"/>
      <c r="BA1121" s="31"/>
      <c r="BB1121" s="31"/>
      <c r="BC1121" s="31"/>
      <c r="BD1121" s="31"/>
      <c r="BE1121" s="31"/>
      <c r="BF1121" s="31"/>
      <c r="BG1121" s="31"/>
      <c r="BH1121" s="31"/>
      <c r="BI1121" s="31"/>
    </row>
    <row r="1122" spans="38:61" x14ac:dyDescent="0.2">
      <c r="AL1122" s="31"/>
      <c r="AM1122" s="31"/>
      <c r="AN1122" s="31"/>
      <c r="AO1122" s="31"/>
      <c r="AP1122" s="31"/>
      <c r="AQ1122" s="31"/>
      <c r="AR1122" s="31"/>
      <c r="AS1122" s="31"/>
      <c r="AT1122" s="31"/>
      <c r="AU1122" s="31"/>
      <c r="AV1122" s="31"/>
      <c r="AW1122" s="31"/>
      <c r="AX1122" s="31"/>
      <c r="AY1122" s="31"/>
      <c r="AZ1122" s="31"/>
      <c r="BA1122" s="31"/>
      <c r="BB1122" s="31"/>
      <c r="BC1122" s="31"/>
      <c r="BD1122" s="31"/>
      <c r="BE1122" s="31"/>
      <c r="BF1122" s="31"/>
      <c r="BG1122" s="31"/>
      <c r="BH1122" s="31"/>
      <c r="BI1122" s="31"/>
    </row>
    <row r="1123" spans="38:61" x14ac:dyDescent="0.2">
      <c r="AL1123" s="31"/>
      <c r="AM1123" s="31"/>
      <c r="AN1123" s="31"/>
      <c r="AO1123" s="31"/>
      <c r="AP1123" s="31"/>
      <c r="AQ1123" s="31"/>
      <c r="AR1123" s="31"/>
      <c r="AS1123" s="31"/>
      <c r="AT1123" s="31"/>
      <c r="AU1123" s="31"/>
      <c r="AV1123" s="31"/>
      <c r="AW1123" s="31"/>
      <c r="AX1123" s="31"/>
      <c r="AY1123" s="31"/>
      <c r="AZ1123" s="31"/>
      <c r="BA1123" s="31"/>
      <c r="BB1123" s="31"/>
      <c r="BC1123" s="31"/>
      <c r="BD1123" s="31"/>
      <c r="BE1123" s="31"/>
      <c r="BF1123" s="31"/>
      <c r="BG1123" s="31"/>
      <c r="BH1123" s="31"/>
      <c r="BI1123" s="31"/>
    </row>
    <row r="1124" spans="38:61" x14ac:dyDescent="0.2">
      <c r="AL1124" s="31"/>
      <c r="AM1124" s="31"/>
      <c r="AN1124" s="31"/>
      <c r="AO1124" s="31"/>
      <c r="AP1124" s="31"/>
      <c r="AQ1124" s="31"/>
      <c r="AR1124" s="31"/>
      <c r="AS1124" s="31"/>
      <c r="AT1124" s="31"/>
      <c r="AU1124" s="31"/>
      <c r="AV1124" s="31"/>
      <c r="AW1124" s="31"/>
      <c r="AX1124" s="31"/>
      <c r="AY1124" s="31"/>
      <c r="AZ1124" s="31"/>
      <c r="BA1124" s="31"/>
      <c r="BB1124" s="31"/>
      <c r="BC1124" s="31"/>
      <c r="BD1124" s="31"/>
      <c r="BE1124" s="31"/>
      <c r="BF1124" s="31"/>
      <c r="BG1124" s="31"/>
      <c r="BH1124" s="31"/>
      <c r="BI1124" s="31"/>
    </row>
    <row r="1125" spans="38:61" x14ac:dyDescent="0.2">
      <c r="AL1125" s="31"/>
      <c r="AM1125" s="31"/>
      <c r="AN1125" s="31"/>
      <c r="AO1125" s="31"/>
      <c r="AP1125" s="31"/>
      <c r="AQ1125" s="31"/>
      <c r="AR1125" s="31"/>
      <c r="AS1125" s="31"/>
      <c r="AT1125" s="31"/>
      <c r="AU1125" s="31"/>
      <c r="AV1125" s="31"/>
      <c r="AW1125" s="31"/>
      <c r="AX1125" s="31"/>
      <c r="AY1125" s="31"/>
      <c r="AZ1125" s="31"/>
      <c r="BA1125" s="31"/>
      <c r="BB1125" s="31"/>
      <c r="BC1125" s="31"/>
      <c r="BD1125" s="31"/>
      <c r="BE1125" s="31"/>
      <c r="BF1125" s="31"/>
      <c r="BG1125" s="31"/>
      <c r="BH1125" s="31"/>
      <c r="BI1125" s="31"/>
    </row>
    <row r="1126" spans="38:61" x14ac:dyDescent="0.2">
      <c r="AL1126" s="31"/>
      <c r="AM1126" s="31"/>
      <c r="AN1126" s="31"/>
      <c r="AO1126" s="31"/>
      <c r="AP1126" s="31"/>
      <c r="AQ1126" s="31"/>
      <c r="AR1126" s="31"/>
      <c r="AS1126" s="31"/>
      <c r="AT1126" s="31"/>
      <c r="AU1126" s="31"/>
      <c r="AV1126" s="31"/>
      <c r="AW1126" s="31"/>
      <c r="AX1126" s="31"/>
      <c r="AY1126" s="31"/>
      <c r="AZ1126" s="31"/>
      <c r="BA1126" s="31"/>
      <c r="BB1126" s="31"/>
      <c r="BC1126" s="31"/>
      <c r="BD1126" s="31"/>
      <c r="BE1126" s="31"/>
      <c r="BF1126" s="31"/>
      <c r="BG1126" s="31"/>
      <c r="BH1126" s="31"/>
      <c r="BI1126" s="31"/>
    </row>
    <row r="1127" spans="38:61" x14ac:dyDescent="0.2">
      <c r="AL1127" s="31"/>
      <c r="AM1127" s="31"/>
      <c r="AN1127" s="31"/>
      <c r="AO1127" s="31"/>
      <c r="AP1127" s="31"/>
      <c r="AQ1127" s="31"/>
      <c r="AR1127" s="31"/>
      <c r="AS1127" s="31"/>
      <c r="AT1127" s="31"/>
      <c r="AU1127" s="31"/>
      <c r="AV1127" s="31"/>
      <c r="AW1127" s="31"/>
      <c r="AX1127" s="31"/>
      <c r="AY1127" s="31"/>
      <c r="AZ1127" s="31"/>
      <c r="BA1127" s="31"/>
      <c r="BB1127" s="31"/>
      <c r="BC1127" s="31"/>
      <c r="BD1127" s="31"/>
      <c r="BE1127" s="31"/>
      <c r="BF1127" s="31"/>
      <c r="BG1127" s="31"/>
      <c r="BH1127" s="31"/>
      <c r="BI1127" s="31"/>
    </row>
    <row r="1128" spans="38:61" x14ac:dyDescent="0.2">
      <c r="AL1128" s="31"/>
      <c r="AM1128" s="31"/>
      <c r="AN1128" s="31"/>
      <c r="AO1128" s="31"/>
      <c r="AP1128" s="31"/>
      <c r="AQ1128" s="31"/>
      <c r="AR1128" s="31"/>
      <c r="AS1128" s="31"/>
      <c r="AT1128" s="31"/>
      <c r="AU1128" s="31"/>
      <c r="AV1128" s="31"/>
      <c r="AW1128" s="31"/>
      <c r="AX1128" s="31"/>
      <c r="AY1128" s="31"/>
      <c r="AZ1128" s="31"/>
      <c r="BA1128" s="31"/>
      <c r="BB1128" s="31"/>
      <c r="BC1128" s="31"/>
      <c r="BD1128" s="31"/>
      <c r="BE1128" s="31"/>
      <c r="BF1128" s="31"/>
      <c r="BG1128" s="31"/>
      <c r="BH1128" s="31"/>
      <c r="BI1128" s="31"/>
    </row>
    <row r="1129" spans="38:61" x14ac:dyDescent="0.2">
      <c r="AL1129" s="31"/>
      <c r="AM1129" s="31"/>
      <c r="AN1129" s="31"/>
      <c r="AO1129" s="31"/>
      <c r="AP1129" s="31"/>
      <c r="AQ1129" s="31"/>
      <c r="AR1129" s="31"/>
      <c r="AS1129" s="31"/>
      <c r="AT1129" s="31"/>
      <c r="AU1129" s="31"/>
      <c r="AV1129" s="31"/>
      <c r="AW1129" s="31"/>
      <c r="AX1129" s="31"/>
      <c r="AY1129" s="31"/>
      <c r="AZ1129" s="31"/>
      <c r="BA1129" s="31"/>
      <c r="BB1129" s="31"/>
      <c r="BC1129" s="31"/>
      <c r="BD1129" s="31"/>
      <c r="BE1129" s="31"/>
      <c r="BF1129" s="31"/>
      <c r="BG1129" s="31"/>
      <c r="BH1129" s="31"/>
      <c r="BI1129" s="31"/>
    </row>
    <row r="1130" spans="38:61" x14ac:dyDescent="0.2">
      <c r="AL1130" s="31"/>
      <c r="AM1130" s="31"/>
      <c r="AN1130" s="31"/>
      <c r="AO1130" s="31"/>
      <c r="AP1130" s="31"/>
      <c r="AQ1130" s="31"/>
      <c r="AR1130" s="31"/>
      <c r="AS1130" s="31"/>
      <c r="AT1130" s="31"/>
      <c r="AU1130" s="31"/>
      <c r="AV1130" s="31"/>
      <c r="AW1130" s="31"/>
      <c r="AX1130" s="31"/>
      <c r="AY1130" s="31"/>
      <c r="AZ1130" s="31"/>
      <c r="BA1130" s="31"/>
      <c r="BB1130" s="31"/>
      <c r="BC1130" s="31"/>
      <c r="BD1130" s="31"/>
      <c r="BE1130" s="31"/>
      <c r="BF1130" s="31"/>
      <c r="BG1130" s="31"/>
      <c r="BH1130" s="31"/>
      <c r="BI1130" s="31"/>
    </row>
    <row r="1131" spans="38:61" x14ac:dyDescent="0.2">
      <c r="AL1131" s="31"/>
      <c r="AM1131" s="31"/>
      <c r="AN1131" s="31"/>
      <c r="AO1131" s="31"/>
      <c r="AP1131" s="31"/>
      <c r="AQ1131" s="31"/>
      <c r="AR1131" s="31"/>
      <c r="AS1131" s="31"/>
      <c r="AT1131" s="31"/>
      <c r="AU1131" s="31"/>
      <c r="AV1131" s="31"/>
      <c r="AW1131" s="31"/>
      <c r="AX1131" s="31"/>
      <c r="AY1131" s="31"/>
      <c r="AZ1131" s="31"/>
      <c r="BA1131" s="31"/>
      <c r="BB1131" s="31"/>
      <c r="BC1131" s="31"/>
      <c r="BD1131" s="31"/>
      <c r="BE1131" s="31"/>
      <c r="BF1131" s="31"/>
      <c r="BG1131" s="31"/>
      <c r="BH1131" s="31"/>
      <c r="BI1131" s="31"/>
    </row>
    <row r="1132" spans="38:61" x14ac:dyDescent="0.2">
      <c r="AL1132" s="31"/>
      <c r="AM1132" s="31"/>
      <c r="AN1132" s="31"/>
      <c r="AO1132" s="31"/>
      <c r="AP1132" s="31"/>
      <c r="AQ1132" s="31"/>
      <c r="AR1132" s="31"/>
      <c r="AS1132" s="31"/>
      <c r="AT1132" s="31"/>
      <c r="AU1132" s="31"/>
      <c r="AV1132" s="31"/>
      <c r="AW1132" s="31"/>
      <c r="AX1132" s="31"/>
      <c r="AY1132" s="31"/>
      <c r="AZ1132" s="31"/>
      <c r="BA1132" s="31"/>
      <c r="BB1132" s="31"/>
      <c r="BC1132" s="31"/>
      <c r="BD1132" s="31"/>
      <c r="BE1132" s="31"/>
      <c r="BF1132" s="31"/>
      <c r="BG1132" s="31"/>
      <c r="BH1132" s="31"/>
      <c r="BI1132" s="31"/>
    </row>
    <row r="1133" spans="38:61" x14ac:dyDescent="0.2">
      <c r="AL1133" s="31"/>
      <c r="AM1133" s="31"/>
      <c r="AN1133" s="31"/>
      <c r="AO1133" s="31"/>
      <c r="AP1133" s="31"/>
      <c r="AQ1133" s="31"/>
      <c r="AR1133" s="31"/>
      <c r="AS1133" s="31"/>
      <c r="AT1133" s="31"/>
      <c r="AU1133" s="31"/>
      <c r="AV1133" s="31"/>
      <c r="AW1133" s="31"/>
      <c r="AX1133" s="31"/>
      <c r="AY1133" s="31"/>
      <c r="AZ1133" s="31"/>
      <c r="BA1133" s="31"/>
      <c r="BB1133" s="31"/>
      <c r="BC1133" s="31"/>
      <c r="BD1133" s="31"/>
      <c r="BE1133" s="31"/>
      <c r="BF1133" s="31"/>
      <c r="BG1133" s="31"/>
      <c r="BH1133" s="31"/>
      <c r="BI1133" s="31"/>
    </row>
    <row r="1134" spans="38:61" x14ac:dyDescent="0.2">
      <c r="AL1134" s="31"/>
      <c r="AM1134" s="31"/>
      <c r="AN1134" s="31"/>
      <c r="AO1134" s="31"/>
      <c r="AP1134" s="31"/>
      <c r="AQ1134" s="31"/>
      <c r="AR1134" s="31"/>
      <c r="AS1134" s="31"/>
      <c r="AT1134" s="31"/>
      <c r="AU1134" s="31"/>
      <c r="AV1134" s="31"/>
      <c r="AW1134" s="31"/>
      <c r="AX1134" s="31"/>
      <c r="AY1134" s="31"/>
      <c r="AZ1134" s="31"/>
      <c r="BA1134" s="31"/>
      <c r="BB1134" s="31"/>
      <c r="BC1134" s="31"/>
      <c r="BD1134" s="31"/>
      <c r="BE1134" s="31"/>
      <c r="BF1134" s="31"/>
      <c r="BG1134" s="31"/>
      <c r="BH1134" s="31"/>
      <c r="BI1134" s="31"/>
    </row>
    <row r="1135" spans="38:61" x14ac:dyDescent="0.2">
      <c r="AL1135" s="31"/>
      <c r="AM1135" s="31"/>
      <c r="AN1135" s="31"/>
      <c r="AO1135" s="31"/>
      <c r="AP1135" s="31"/>
      <c r="AQ1135" s="31"/>
      <c r="AR1135" s="31"/>
      <c r="AS1135" s="31"/>
      <c r="AT1135" s="31"/>
      <c r="AU1135" s="31"/>
      <c r="AV1135" s="31"/>
      <c r="AW1135" s="31"/>
      <c r="AX1135" s="31"/>
      <c r="AY1135" s="31"/>
      <c r="AZ1135" s="31"/>
      <c r="BA1135" s="31"/>
      <c r="BB1135" s="31"/>
      <c r="BC1135" s="31"/>
      <c r="BD1135" s="31"/>
      <c r="BE1135" s="31"/>
      <c r="BF1135" s="31"/>
      <c r="BG1135" s="31"/>
      <c r="BH1135" s="31"/>
      <c r="BI1135" s="31"/>
    </row>
    <row r="1136" spans="38:61" x14ac:dyDescent="0.2">
      <c r="AL1136" s="31"/>
      <c r="AM1136" s="31"/>
      <c r="AN1136" s="31"/>
      <c r="AO1136" s="31"/>
      <c r="AP1136" s="31"/>
      <c r="AQ1136" s="31"/>
      <c r="AR1136" s="31"/>
      <c r="AS1136" s="31"/>
      <c r="AT1136" s="31"/>
      <c r="AU1136" s="31"/>
      <c r="AV1136" s="31"/>
      <c r="AW1136" s="31"/>
      <c r="AX1136" s="31"/>
      <c r="AY1136" s="31"/>
      <c r="AZ1136" s="31"/>
      <c r="BA1136" s="31"/>
      <c r="BB1136" s="31"/>
      <c r="BC1136" s="31"/>
      <c r="BD1136" s="31"/>
      <c r="BE1136" s="31"/>
      <c r="BF1136" s="31"/>
      <c r="BG1136" s="31"/>
      <c r="BH1136" s="31"/>
      <c r="BI1136" s="31"/>
    </row>
    <row r="1137" spans="38:61" x14ac:dyDescent="0.2">
      <c r="AL1137" s="31"/>
      <c r="AM1137" s="31"/>
      <c r="AN1137" s="31"/>
      <c r="AO1137" s="31"/>
      <c r="AP1137" s="31"/>
      <c r="AQ1137" s="31"/>
      <c r="AR1137" s="31"/>
      <c r="AS1137" s="31"/>
      <c r="AT1137" s="31"/>
      <c r="AU1137" s="31"/>
      <c r="AV1137" s="31"/>
      <c r="AW1137" s="31"/>
      <c r="AX1137" s="31"/>
      <c r="AY1137" s="31"/>
      <c r="AZ1137" s="31"/>
      <c r="BA1137" s="31"/>
      <c r="BB1137" s="31"/>
      <c r="BC1137" s="31"/>
      <c r="BD1137" s="31"/>
      <c r="BE1137" s="31"/>
      <c r="BF1137" s="31"/>
      <c r="BG1137" s="31"/>
      <c r="BH1137" s="31"/>
      <c r="BI1137" s="31"/>
    </row>
    <row r="1138" spans="38:61" x14ac:dyDescent="0.2">
      <c r="AL1138" s="31"/>
      <c r="AM1138" s="31"/>
      <c r="AN1138" s="31"/>
      <c r="AO1138" s="31"/>
      <c r="AP1138" s="31"/>
      <c r="AQ1138" s="31"/>
      <c r="AR1138" s="31"/>
      <c r="AS1138" s="31"/>
      <c r="AT1138" s="31"/>
      <c r="AU1138" s="31"/>
      <c r="AV1138" s="31"/>
      <c r="AW1138" s="31"/>
      <c r="AX1138" s="31"/>
      <c r="AY1138" s="31"/>
      <c r="AZ1138" s="31"/>
      <c r="BA1138" s="31"/>
      <c r="BB1138" s="31"/>
      <c r="BC1138" s="31"/>
      <c r="BD1138" s="31"/>
      <c r="BE1138" s="31"/>
      <c r="BF1138" s="31"/>
      <c r="BG1138" s="31"/>
      <c r="BH1138" s="31"/>
      <c r="BI1138" s="31"/>
    </row>
    <row r="1139" spans="38:61" x14ac:dyDescent="0.2">
      <c r="AL1139" s="31"/>
      <c r="AM1139" s="31"/>
      <c r="AN1139" s="31"/>
      <c r="AO1139" s="31"/>
      <c r="AP1139" s="31"/>
      <c r="AQ1139" s="31"/>
      <c r="AR1139" s="31"/>
      <c r="AS1139" s="31"/>
      <c r="AT1139" s="31"/>
      <c r="AU1139" s="31"/>
      <c r="AV1139" s="31"/>
      <c r="AW1139" s="31"/>
      <c r="AX1139" s="31"/>
      <c r="AY1139" s="31"/>
      <c r="AZ1139" s="31"/>
      <c r="BA1139" s="31"/>
      <c r="BB1139" s="31"/>
      <c r="BC1139" s="31"/>
      <c r="BD1139" s="31"/>
      <c r="BE1139" s="31"/>
      <c r="BF1139" s="31"/>
      <c r="BG1139" s="31"/>
      <c r="BH1139" s="31"/>
      <c r="BI1139" s="31"/>
    </row>
    <row r="1140" spans="38:61" x14ac:dyDescent="0.2">
      <c r="AL1140" s="31"/>
      <c r="AM1140" s="31"/>
      <c r="AN1140" s="31"/>
      <c r="AO1140" s="31"/>
      <c r="AP1140" s="31"/>
      <c r="AQ1140" s="31"/>
      <c r="AR1140" s="31"/>
      <c r="AS1140" s="31"/>
      <c r="AT1140" s="31"/>
      <c r="AU1140" s="31"/>
      <c r="AV1140" s="31"/>
      <c r="AW1140" s="31"/>
      <c r="AX1140" s="31"/>
      <c r="AY1140" s="31"/>
      <c r="AZ1140" s="31"/>
      <c r="BA1140" s="31"/>
      <c r="BB1140" s="31"/>
      <c r="BC1140" s="31"/>
      <c r="BD1140" s="31"/>
      <c r="BE1140" s="31"/>
      <c r="BF1140" s="31"/>
      <c r="BG1140" s="31"/>
      <c r="BH1140" s="31"/>
      <c r="BI1140" s="31"/>
    </row>
    <row r="1141" spans="38:61" x14ac:dyDescent="0.2">
      <c r="AL1141" s="31"/>
      <c r="AM1141" s="31"/>
      <c r="AN1141" s="31"/>
      <c r="AO1141" s="31"/>
      <c r="AP1141" s="31"/>
      <c r="AQ1141" s="31"/>
      <c r="AR1141" s="31"/>
      <c r="AS1141" s="31"/>
      <c r="AT1141" s="31"/>
      <c r="AU1141" s="31"/>
      <c r="AV1141" s="31"/>
      <c r="AW1141" s="31"/>
      <c r="AX1141" s="31"/>
      <c r="AY1141" s="31"/>
      <c r="AZ1141" s="31"/>
      <c r="BA1141" s="31"/>
      <c r="BB1141" s="31"/>
      <c r="BC1141" s="31"/>
      <c r="BD1141" s="31"/>
      <c r="BE1141" s="31"/>
      <c r="BF1141" s="31"/>
      <c r="BG1141" s="31"/>
      <c r="BH1141" s="31"/>
      <c r="BI1141" s="31"/>
    </row>
    <row r="1142" spans="38:61" x14ac:dyDescent="0.2">
      <c r="AL1142" s="31"/>
      <c r="AM1142" s="31"/>
      <c r="AN1142" s="31"/>
      <c r="AO1142" s="31"/>
      <c r="AP1142" s="31"/>
      <c r="AQ1142" s="31"/>
      <c r="AR1142" s="31"/>
      <c r="AS1142" s="31"/>
      <c r="AT1142" s="31"/>
      <c r="AU1142" s="31"/>
      <c r="AV1142" s="31"/>
      <c r="AW1142" s="31"/>
      <c r="AX1142" s="31"/>
      <c r="AY1142" s="31"/>
      <c r="AZ1142" s="31"/>
      <c r="BA1142" s="31"/>
      <c r="BB1142" s="31"/>
      <c r="BC1142" s="31"/>
      <c r="BD1142" s="31"/>
      <c r="BE1142" s="31"/>
      <c r="BF1142" s="31"/>
      <c r="BG1142" s="31"/>
      <c r="BH1142" s="31"/>
      <c r="BI1142" s="31"/>
    </row>
    <row r="1143" spans="38:61" x14ac:dyDescent="0.2">
      <c r="AL1143" s="31"/>
      <c r="AM1143" s="31"/>
      <c r="AN1143" s="31"/>
      <c r="AO1143" s="31"/>
      <c r="AP1143" s="31"/>
      <c r="AQ1143" s="31"/>
      <c r="AR1143" s="31"/>
      <c r="AS1143" s="31"/>
      <c r="AT1143" s="31"/>
      <c r="AU1143" s="31"/>
      <c r="AV1143" s="31"/>
      <c r="AW1143" s="31"/>
      <c r="AX1143" s="31"/>
      <c r="AY1143" s="31"/>
      <c r="AZ1143" s="31"/>
      <c r="BA1143" s="31"/>
      <c r="BB1143" s="31"/>
      <c r="BC1143" s="31"/>
      <c r="BD1143" s="31"/>
      <c r="BE1143" s="31"/>
      <c r="BF1143" s="31"/>
      <c r="BG1143" s="31"/>
      <c r="BH1143" s="31"/>
      <c r="BI1143" s="31"/>
    </row>
    <row r="1144" spans="38:61" x14ac:dyDescent="0.2">
      <c r="AL1144" s="31"/>
      <c r="AM1144" s="31"/>
      <c r="AN1144" s="31"/>
      <c r="AO1144" s="31"/>
      <c r="AP1144" s="31"/>
      <c r="AQ1144" s="31"/>
      <c r="AR1144" s="31"/>
      <c r="AS1144" s="31"/>
      <c r="AT1144" s="31"/>
      <c r="AU1144" s="31"/>
      <c r="AV1144" s="31"/>
      <c r="AW1144" s="31"/>
      <c r="AX1144" s="31"/>
      <c r="AY1144" s="31"/>
      <c r="AZ1144" s="31"/>
      <c r="BA1144" s="31"/>
      <c r="BB1144" s="31"/>
      <c r="BC1144" s="31"/>
      <c r="BD1144" s="31"/>
      <c r="BE1144" s="31"/>
      <c r="BF1144" s="31"/>
      <c r="BG1144" s="31"/>
      <c r="BH1144" s="31"/>
      <c r="BI1144" s="31"/>
    </row>
    <row r="1145" spans="38:61" x14ac:dyDescent="0.2">
      <c r="AL1145" s="31"/>
      <c r="AM1145" s="31"/>
      <c r="AN1145" s="31"/>
      <c r="AO1145" s="31"/>
      <c r="AP1145" s="31"/>
      <c r="AQ1145" s="31"/>
      <c r="AR1145" s="31"/>
      <c r="AS1145" s="31"/>
      <c r="AT1145" s="31"/>
      <c r="AU1145" s="31"/>
      <c r="AV1145" s="31"/>
      <c r="AW1145" s="31"/>
      <c r="AX1145" s="31"/>
      <c r="AY1145" s="31"/>
      <c r="AZ1145" s="31"/>
      <c r="BA1145" s="31"/>
      <c r="BB1145" s="31"/>
      <c r="BC1145" s="31"/>
      <c r="BD1145" s="31"/>
      <c r="BE1145" s="31"/>
      <c r="BF1145" s="31"/>
      <c r="BG1145" s="31"/>
      <c r="BH1145" s="31"/>
      <c r="BI1145" s="31"/>
    </row>
    <row r="1146" spans="38:61" x14ac:dyDescent="0.2">
      <c r="AL1146" s="31"/>
      <c r="AM1146" s="31"/>
      <c r="AN1146" s="31"/>
      <c r="AO1146" s="31"/>
      <c r="AP1146" s="31"/>
      <c r="AQ1146" s="31"/>
      <c r="AR1146" s="31"/>
      <c r="AS1146" s="31"/>
      <c r="AT1146" s="31"/>
      <c r="AU1146" s="31"/>
      <c r="AV1146" s="31"/>
      <c r="AW1146" s="31"/>
      <c r="AX1146" s="31"/>
      <c r="AY1146" s="31"/>
      <c r="AZ1146" s="31"/>
      <c r="BA1146" s="31"/>
      <c r="BB1146" s="31"/>
      <c r="BC1146" s="31"/>
      <c r="BD1146" s="31"/>
      <c r="BE1146" s="31"/>
      <c r="BF1146" s="31"/>
      <c r="BG1146" s="31"/>
      <c r="BH1146" s="31"/>
      <c r="BI1146" s="31"/>
    </row>
    <row r="1147" spans="38:61" x14ac:dyDescent="0.2">
      <c r="AL1147" s="31"/>
      <c r="AM1147" s="31"/>
      <c r="AN1147" s="31"/>
      <c r="AO1147" s="31"/>
      <c r="AP1147" s="31"/>
      <c r="AQ1147" s="31"/>
      <c r="AR1147" s="31"/>
      <c r="AS1147" s="31"/>
      <c r="AT1147" s="31"/>
      <c r="AU1147" s="31"/>
      <c r="AV1147" s="31"/>
      <c r="AW1147" s="31"/>
      <c r="AX1147" s="31"/>
      <c r="AY1147" s="31"/>
      <c r="AZ1147" s="31"/>
      <c r="BA1147" s="31"/>
      <c r="BB1147" s="31"/>
      <c r="BC1147" s="31"/>
      <c r="BD1147" s="31"/>
      <c r="BE1147" s="31"/>
      <c r="BF1147" s="31"/>
      <c r="BG1147" s="31"/>
      <c r="BH1147" s="31"/>
      <c r="BI1147" s="31"/>
    </row>
    <row r="1148" spans="38:61" x14ac:dyDescent="0.2">
      <c r="AL1148" s="31"/>
      <c r="AM1148" s="31"/>
      <c r="AN1148" s="31"/>
      <c r="AO1148" s="31"/>
      <c r="AP1148" s="31"/>
      <c r="AQ1148" s="31"/>
      <c r="AR1148" s="31"/>
      <c r="AS1148" s="31"/>
      <c r="AT1148" s="31"/>
      <c r="AU1148" s="31"/>
      <c r="AV1148" s="31"/>
      <c r="AW1148" s="31"/>
      <c r="AX1148" s="31"/>
      <c r="AY1148" s="31"/>
      <c r="AZ1148" s="31"/>
      <c r="BA1148" s="31"/>
      <c r="BB1148" s="31"/>
      <c r="BC1148" s="31"/>
      <c r="BD1148" s="31"/>
      <c r="BE1148" s="31"/>
      <c r="BF1148" s="31"/>
      <c r="BG1148" s="31"/>
      <c r="BH1148" s="31"/>
      <c r="BI1148" s="31"/>
    </row>
    <row r="1149" spans="38:61" x14ac:dyDescent="0.2">
      <c r="AL1149" s="31"/>
      <c r="AM1149" s="31"/>
      <c r="AN1149" s="31"/>
      <c r="AO1149" s="31"/>
      <c r="AP1149" s="31"/>
      <c r="AQ1149" s="31"/>
      <c r="AR1149" s="31"/>
      <c r="AS1149" s="31"/>
      <c r="AT1149" s="31"/>
      <c r="AU1149" s="31"/>
      <c r="AV1149" s="31"/>
      <c r="AW1149" s="31"/>
      <c r="AX1149" s="31"/>
      <c r="AY1149" s="31"/>
      <c r="AZ1149" s="31"/>
      <c r="BA1149" s="31"/>
      <c r="BB1149" s="31"/>
      <c r="BC1149" s="31"/>
      <c r="BD1149" s="31"/>
      <c r="BE1149" s="31"/>
      <c r="BF1149" s="31"/>
      <c r="BG1149" s="31"/>
      <c r="BH1149" s="31"/>
      <c r="BI1149" s="31"/>
    </row>
    <row r="1150" spans="38:61" x14ac:dyDescent="0.2">
      <c r="AL1150" s="31"/>
      <c r="AM1150" s="31"/>
      <c r="AN1150" s="31"/>
      <c r="AO1150" s="31"/>
      <c r="AP1150" s="31"/>
      <c r="AQ1150" s="31"/>
      <c r="AR1150" s="31"/>
      <c r="AS1150" s="31"/>
      <c r="AT1150" s="31"/>
      <c r="AU1150" s="31"/>
      <c r="AV1150" s="31"/>
      <c r="AW1150" s="31"/>
      <c r="AX1150" s="31"/>
      <c r="AY1150" s="31"/>
      <c r="AZ1150" s="31"/>
      <c r="BA1150" s="31"/>
      <c r="BB1150" s="31"/>
      <c r="BC1150" s="31"/>
      <c r="BD1150" s="31"/>
      <c r="BE1150" s="31"/>
      <c r="BF1150" s="31"/>
      <c r="BG1150" s="31"/>
      <c r="BH1150" s="31"/>
      <c r="BI1150" s="31"/>
    </row>
    <row r="1151" spans="38:61" x14ac:dyDescent="0.2">
      <c r="AL1151" s="31"/>
      <c r="AM1151" s="31"/>
      <c r="AN1151" s="31"/>
      <c r="AO1151" s="31"/>
      <c r="AP1151" s="31"/>
      <c r="AQ1151" s="31"/>
      <c r="AR1151" s="31"/>
      <c r="AS1151" s="31"/>
      <c r="AT1151" s="31"/>
      <c r="AU1151" s="31"/>
      <c r="AV1151" s="31"/>
      <c r="AW1151" s="31"/>
      <c r="AX1151" s="31"/>
      <c r="AY1151" s="31"/>
      <c r="AZ1151" s="31"/>
      <c r="BA1151" s="31"/>
      <c r="BB1151" s="31"/>
      <c r="BC1151" s="31"/>
      <c r="BD1151" s="31"/>
      <c r="BE1151" s="31"/>
      <c r="BF1151" s="31"/>
      <c r="BG1151" s="31"/>
      <c r="BH1151" s="31"/>
      <c r="BI1151" s="31"/>
    </row>
    <row r="1152" spans="38:61" x14ac:dyDescent="0.2">
      <c r="AL1152" s="31"/>
      <c r="AM1152" s="31"/>
      <c r="AN1152" s="31"/>
      <c r="AO1152" s="31"/>
      <c r="AP1152" s="31"/>
      <c r="AQ1152" s="31"/>
      <c r="AR1152" s="31"/>
      <c r="AS1152" s="31"/>
      <c r="AT1152" s="31"/>
      <c r="AU1152" s="31"/>
      <c r="AV1152" s="31"/>
      <c r="AW1152" s="31"/>
      <c r="AX1152" s="31"/>
      <c r="AY1152" s="31"/>
      <c r="AZ1152" s="31"/>
      <c r="BA1152" s="31"/>
      <c r="BB1152" s="31"/>
      <c r="BC1152" s="31"/>
      <c r="BD1152" s="31"/>
      <c r="BE1152" s="31"/>
      <c r="BF1152" s="31"/>
      <c r="BG1152" s="31"/>
      <c r="BH1152" s="31"/>
      <c r="BI1152" s="31"/>
    </row>
    <row r="1153" spans="38:61" x14ac:dyDescent="0.2">
      <c r="AL1153" s="31"/>
      <c r="AM1153" s="31"/>
      <c r="AN1153" s="31"/>
      <c r="AO1153" s="31"/>
      <c r="AP1153" s="31"/>
      <c r="AQ1153" s="31"/>
      <c r="AR1153" s="31"/>
      <c r="AS1153" s="31"/>
      <c r="AT1153" s="31"/>
      <c r="AU1153" s="31"/>
      <c r="AV1153" s="31"/>
      <c r="AW1153" s="31"/>
      <c r="AX1153" s="31"/>
      <c r="AY1153" s="31"/>
      <c r="AZ1153" s="31"/>
      <c r="BA1153" s="31"/>
      <c r="BB1153" s="31"/>
      <c r="BC1153" s="31"/>
      <c r="BD1153" s="31"/>
      <c r="BE1153" s="31"/>
      <c r="BF1153" s="31"/>
      <c r="BG1153" s="31"/>
      <c r="BH1153" s="31"/>
      <c r="BI1153" s="31"/>
    </row>
    <row r="1154" spans="38:61" x14ac:dyDescent="0.2">
      <c r="AL1154" s="31"/>
      <c r="AM1154" s="31"/>
      <c r="AN1154" s="31"/>
      <c r="AO1154" s="31"/>
      <c r="AP1154" s="31"/>
      <c r="AQ1154" s="31"/>
      <c r="AR1154" s="31"/>
      <c r="AS1154" s="31"/>
      <c r="AT1154" s="31"/>
      <c r="AU1154" s="31"/>
      <c r="AV1154" s="31"/>
      <c r="AW1154" s="31"/>
      <c r="AX1154" s="31"/>
      <c r="AY1154" s="31"/>
      <c r="AZ1154" s="31"/>
      <c r="BA1154" s="31"/>
      <c r="BB1154" s="31"/>
      <c r="BC1154" s="31"/>
      <c r="BD1154" s="31"/>
      <c r="BE1154" s="31"/>
      <c r="BF1154" s="31"/>
      <c r="BG1154" s="31"/>
      <c r="BH1154" s="31"/>
      <c r="BI1154" s="31"/>
    </row>
    <row r="1155" spans="38:61" x14ac:dyDescent="0.2">
      <c r="AL1155" s="31"/>
      <c r="AM1155" s="31"/>
      <c r="AN1155" s="31"/>
      <c r="AO1155" s="31"/>
      <c r="AP1155" s="31"/>
      <c r="AQ1155" s="31"/>
      <c r="AR1155" s="31"/>
      <c r="AS1155" s="31"/>
      <c r="AT1155" s="31"/>
      <c r="AU1155" s="31"/>
      <c r="AV1155" s="31"/>
      <c r="AW1155" s="31"/>
      <c r="AX1155" s="31"/>
      <c r="AY1155" s="31"/>
      <c r="AZ1155" s="31"/>
      <c r="BA1155" s="31"/>
      <c r="BB1155" s="31"/>
      <c r="BC1155" s="31"/>
      <c r="BD1155" s="31"/>
      <c r="BE1155" s="31"/>
      <c r="BF1155" s="31"/>
      <c r="BG1155" s="31"/>
      <c r="BH1155" s="31"/>
      <c r="BI1155" s="31"/>
    </row>
    <row r="1156" spans="38:61" x14ac:dyDescent="0.2">
      <c r="AL1156" s="31"/>
      <c r="AM1156" s="31"/>
      <c r="AN1156" s="31"/>
      <c r="AO1156" s="31"/>
      <c r="AP1156" s="31"/>
      <c r="AQ1156" s="31"/>
      <c r="AR1156" s="31"/>
      <c r="AS1156" s="31"/>
      <c r="AT1156" s="31"/>
      <c r="AU1156" s="31"/>
      <c r="AV1156" s="31"/>
      <c r="AW1156" s="31"/>
      <c r="AX1156" s="31"/>
      <c r="AY1156" s="31"/>
      <c r="AZ1156" s="31"/>
      <c r="BA1156" s="31"/>
      <c r="BB1156" s="31"/>
      <c r="BC1156" s="31"/>
      <c r="BD1156" s="31"/>
      <c r="BE1156" s="31"/>
      <c r="BF1156" s="31"/>
      <c r="BG1156" s="31"/>
      <c r="BH1156" s="31"/>
      <c r="BI1156" s="31"/>
    </row>
    <row r="1157" spans="38:61" x14ac:dyDescent="0.2">
      <c r="AL1157" s="31"/>
      <c r="AM1157" s="31"/>
      <c r="AN1157" s="31"/>
      <c r="AO1157" s="31"/>
      <c r="AP1157" s="31"/>
      <c r="AQ1157" s="31"/>
      <c r="AR1157" s="31"/>
      <c r="AS1157" s="31"/>
      <c r="AT1157" s="31"/>
      <c r="AU1157" s="31"/>
      <c r="AV1157" s="31"/>
      <c r="AW1157" s="31"/>
      <c r="AX1157" s="31"/>
      <c r="AY1157" s="31"/>
      <c r="AZ1157" s="31"/>
      <c r="BA1157" s="31"/>
      <c r="BB1157" s="31"/>
      <c r="BC1157" s="31"/>
      <c r="BD1157" s="31"/>
      <c r="BE1157" s="31"/>
      <c r="BF1157" s="31"/>
      <c r="BG1157" s="31"/>
      <c r="BH1157" s="31"/>
      <c r="BI1157" s="31"/>
    </row>
    <row r="1158" spans="38:61" x14ac:dyDescent="0.2">
      <c r="AL1158" s="31"/>
      <c r="AM1158" s="31"/>
      <c r="AN1158" s="31"/>
      <c r="AO1158" s="31"/>
      <c r="AP1158" s="31"/>
      <c r="AQ1158" s="31"/>
      <c r="AR1158" s="31"/>
      <c r="AS1158" s="31"/>
      <c r="AT1158" s="31"/>
      <c r="AU1158" s="31"/>
      <c r="AV1158" s="31"/>
      <c r="AW1158" s="31"/>
      <c r="AX1158" s="31"/>
      <c r="AY1158" s="31"/>
      <c r="AZ1158" s="31"/>
      <c r="BA1158" s="31"/>
      <c r="BB1158" s="31"/>
      <c r="BC1158" s="31"/>
      <c r="BD1158" s="31"/>
      <c r="BE1158" s="31"/>
      <c r="BF1158" s="31"/>
      <c r="BG1158" s="31"/>
      <c r="BH1158" s="31"/>
      <c r="BI1158" s="31"/>
    </row>
    <row r="1159" spans="38:61" x14ac:dyDescent="0.2">
      <c r="AL1159" s="31"/>
      <c r="AM1159" s="31"/>
      <c r="AN1159" s="31"/>
      <c r="AO1159" s="31"/>
      <c r="AP1159" s="31"/>
      <c r="AQ1159" s="31"/>
      <c r="AR1159" s="31"/>
      <c r="AS1159" s="31"/>
      <c r="AT1159" s="31"/>
      <c r="AU1159" s="31"/>
      <c r="AV1159" s="31"/>
      <c r="AW1159" s="31"/>
      <c r="AX1159" s="31"/>
      <c r="AY1159" s="31"/>
      <c r="AZ1159" s="31"/>
      <c r="BA1159" s="31"/>
      <c r="BB1159" s="31"/>
      <c r="BC1159" s="31"/>
      <c r="BD1159" s="31"/>
      <c r="BE1159" s="31"/>
      <c r="BF1159" s="31"/>
      <c r="BG1159" s="31"/>
      <c r="BH1159" s="31"/>
      <c r="BI1159" s="31"/>
    </row>
    <row r="1160" spans="38:61" x14ac:dyDescent="0.2">
      <c r="AL1160" s="31"/>
      <c r="AM1160" s="31"/>
      <c r="AN1160" s="31"/>
      <c r="AO1160" s="31"/>
      <c r="AP1160" s="31"/>
      <c r="AQ1160" s="31"/>
      <c r="AR1160" s="31"/>
      <c r="AS1160" s="31"/>
      <c r="AT1160" s="31"/>
      <c r="AU1160" s="31"/>
      <c r="AV1160" s="31"/>
      <c r="AW1160" s="31"/>
      <c r="AX1160" s="31"/>
      <c r="AY1160" s="31"/>
      <c r="AZ1160" s="31"/>
      <c r="BA1160" s="31"/>
      <c r="BB1160" s="31"/>
      <c r="BC1160" s="31"/>
      <c r="BD1160" s="31"/>
      <c r="BE1160" s="31"/>
      <c r="BF1160" s="31"/>
      <c r="BG1160" s="31"/>
      <c r="BH1160" s="31"/>
      <c r="BI1160" s="31"/>
    </row>
    <row r="1161" spans="38:61" x14ac:dyDescent="0.2">
      <c r="AL1161" s="31"/>
      <c r="AM1161" s="31"/>
      <c r="AN1161" s="31"/>
      <c r="AO1161" s="31"/>
      <c r="AP1161" s="31"/>
      <c r="AQ1161" s="31"/>
      <c r="AR1161" s="31"/>
      <c r="AS1161" s="31"/>
      <c r="AT1161" s="31"/>
      <c r="AU1161" s="31"/>
      <c r="AV1161" s="31"/>
      <c r="AW1161" s="31"/>
      <c r="AX1161" s="31"/>
      <c r="AY1161" s="31"/>
      <c r="AZ1161" s="31"/>
      <c r="BA1161" s="31"/>
      <c r="BB1161" s="31"/>
      <c r="BC1161" s="31"/>
      <c r="BD1161" s="31"/>
      <c r="BE1161" s="31"/>
      <c r="BF1161" s="31"/>
      <c r="BG1161" s="31"/>
      <c r="BH1161" s="31"/>
      <c r="BI1161" s="31"/>
    </row>
    <row r="1162" spans="38:61" x14ac:dyDescent="0.2">
      <c r="AL1162" s="31"/>
      <c r="AM1162" s="31"/>
      <c r="AN1162" s="31"/>
      <c r="AO1162" s="31"/>
      <c r="AP1162" s="31"/>
      <c r="AQ1162" s="31"/>
      <c r="AR1162" s="31"/>
      <c r="AS1162" s="31"/>
      <c r="AT1162" s="31"/>
      <c r="AU1162" s="31"/>
      <c r="AV1162" s="31"/>
      <c r="AW1162" s="31"/>
      <c r="AX1162" s="31"/>
      <c r="AY1162" s="31"/>
      <c r="AZ1162" s="31"/>
      <c r="BA1162" s="31"/>
      <c r="BB1162" s="31"/>
      <c r="BC1162" s="31"/>
      <c r="BD1162" s="31"/>
      <c r="BE1162" s="31"/>
      <c r="BF1162" s="31"/>
      <c r="BG1162" s="31"/>
      <c r="BH1162" s="31"/>
      <c r="BI1162" s="31"/>
    </row>
    <row r="1163" spans="38:61" x14ac:dyDescent="0.2">
      <c r="AL1163" s="31"/>
      <c r="AM1163" s="31"/>
      <c r="AN1163" s="31"/>
      <c r="AO1163" s="31"/>
      <c r="AP1163" s="31"/>
      <c r="AQ1163" s="31"/>
      <c r="AR1163" s="31"/>
      <c r="AS1163" s="31"/>
      <c r="AT1163" s="31"/>
      <c r="AU1163" s="31"/>
      <c r="AV1163" s="31"/>
      <c r="AW1163" s="31"/>
      <c r="AX1163" s="31"/>
      <c r="AY1163" s="31"/>
      <c r="AZ1163" s="31"/>
      <c r="BA1163" s="31"/>
      <c r="BB1163" s="31"/>
      <c r="BC1163" s="31"/>
      <c r="BD1163" s="31"/>
      <c r="BE1163" s="31"/>
      <c r="BF1163" s="31"/>
      <c r="BG1163" s="31"/>
      <c r="BH1163" s="31"/>
      <c r="BI1163" s="31"/>
    </row>
    <row r="1164" spans="38:61" x14ac:dyDescent="0.2">
      <c r="AL1164" s="31"/>
      <c r="AM1164" s="31"/>
      <c r="AN1164" s="31"/>
      <c r="AO1164" s="31"/>
      <c r="AP1164" s="31"/>
      <c r="AQ1164" s="31"/>
      <c r="AR1164" s="31"/>
      <c r="AS1164" s="31"/>
      <c r="AT1164" s="31"/>
      <c r="AU1164" s="31"/>
      <c r="AV1164" s="31"/>
      <c r="AW1164" s="31"/>
      <c r="AX1164" s="31"/>
      <c r="AY1164" s="31"/>
      <c r="AZ1164" s="31"/>
      <c r="BA1164" s="31"/>
      <c r="BB1164" s="31"/>
      <c r="BC1164" s="31"/>
      <c r="BD1164" s="31"/>
      <c r="BE1164" s="31"/>
      <c r="BF1164" s="31"/>
      <c r="BG1164" s="31"/>
      <c r="BH1164" s="31"/>
      <c r="BI1164" s="31"/>
    </row>
    <row r="1165" spans="38:61" x14ac:dyDescent="0.2">
      <c r="AL1165" s="31"/>
      <c r="AM1165" s="31"/>
      <c r="AN1165" s="31"/>
      <c r="AO1165" s="31"/>
      <c r="AP1165" s="31"/>
      <c r="AQ1165" s="31"/>
      <c r="AR1165" s="31"/>
      <c r="AS1165" s="31"/>
      <c r="AT1165" s="31"/>
      <c r="AU1165" s="31"/>
      <c r="AV1165" s="31"/>
      <c r="AW1165" s="31"/>
      <c r="AX1165" s="31"/>
      <c r="AY1165" s="31"/>
      <c r="AZ1165" s="31"/>
      <c r="BA1165" s="31"/>
      <c r="BB1165" s="31"/>
      <c r="BC1165" s="31"/>
      <c r="BD1165" s="31"/>
      <c r="BE1165" s="31"/>
      <c r="BF1165" s="31"/>
      <c r="BG1165" s="31"/>
      <c r="BH1165" s="31"/>
      <c r="BI1165" s="31"/>
    </row>
    <row r="1166" spans="38:61" x14ac:dyDescent="0.2">
      <c r="AL1166" s="31"/>
      <c r="AM1166" s="31"/>
      <c r="AN1166" s="31"/>
      <c r="AO1166" s="31"/>
      <c r="AP1166" s="31"/>
      <c r="AQ1166" s="31"/>
      <c r="AR1166" s="31"/>
      <c r="AS1166" s="31"/>
      <c r="AT1166" s="31"/>
      <c r="AU1166" s="31"/>
      <c r="AV1166" s="31"/>
      <c r="AW1166" s="31"/>
      <c r="AX1166" s="31"/>
      <c r="AY1166" s="31"/>
      <c r="AZ1166" s="31"/>
      <c r="BA1166" s="31"/>
      <c r="BB1166" s="31"/>
      <c r="BC1166" s="31"/>
      <c r="BD1166" s="31"/>
      <c r="BE1166" s="31"/>
      <c r="BF1166" s="31"/>
      <c r="BG1166" s="31"/>
      <c r="BH1166" s="31"/>
      <c r="BI1166" s="31"/>
    </row>
    <row r="1167" spans="38:61" x14ac:dyDescent="0.2">
      <c r="AL1167" s="31"/>
      <c r="AM1167" s="31"/>
      <c r="AN1167" s="31"/>
      <c r="AO1167" s="31"/>
      <c r="AP1167" s="31"/>
      <c r="AQ1167" s="31"/>
      <c r="AR1167" s="31"/>
      <c r="AS1167" s="31"/>
      <c r="AT1167" s="31"/>
      <c r="AU1167" s="31"/>
      <c r="AV1167" s="31"/>
      <c r="AW1167" s="31"/>
      <c r="AX1167" s="31"/>
      <c r="AY1167" s="31"/>
      <c r="AZ1167" s="31"/>
      <c r="BA1167" s="31"/>
      <c r="BB1167" s="31"/>
      <c r="BC1167" s="31"/>
      <c r="BD1167" s="31"/>
      <c r="BE1167" s="31"/>
      <c r="BF1167" s="31"/>
      <c r="BG1167" s="31"/>
      <c r="BH1167" s="31"/>
      <c r="BI1167" s="31"/>
    </row>
    <row r="1168" spans="38:61" x14ac:dyDescent="0.2">
      <c r="AL1168" s="31"/>
      <c r="AM1168" s="31"/>
      <c r="AN1168" s="31"/>
      <c r="AO1168" s="31"/>
      <c r="AP1168" s="31"/>
      <c r="AQ1168" s="31"/>
      <c r="AR1168" s="31"/>
      <c r="AS1168" s="31"/>
      <c r="AT1168" s="31"/>
      <c r="AU1168" s="31"/>
      <c r="AV1168" s="31"/>
      <c r="AW1168" s="31"/>
      <c r="AX1168" s="31"/>
      <c r="AY1168" s="31"/>
      <c r="AZ1168" s="31"/>
      <c r="BA1168" s="31"/>
      <c r="BB1168" s="31"/>
      <c r="BC1168" s="31"/>
      <c r="BD1168" s="31"/>
      <c r="BE1168" s="31"/>
      <c r="BF1168" s="31"/>
      <c r="BG1168" s="31"/>
      <c r="BH1168" s="31"/>
      <c r="BI1168" s="31"/>
    </row>
    <row r="1169" spans="38:61" x14ac:dyDescent="0.2">
      <c r="AL1169" s="31"/>
      <c r="AM1169" s="31"/>
      <c r="AN1169" s="31"/>
      <c r="AO1169" s="31"/>
      <c r="AP1169" s="31"/>
      <c r="AQ1169" s="31"/>
      <c r="AR1169" s="31"/>
      <c r="AS1169" s="31"/>
      <c r="AT1169" s="31"/>
      <c r="AU1169" s="31"/>
      <c r="AV1169" s="31"/>
      <c r="AW1169" s="31"/>
      <c r="AX1169" s="31"/>
      <c r="AY1169" s="31"/>
      <c r="AZ1169" s="31"/>
      <c r="BA1169" s="31"/>
      <c r="BB1169" s="31"/>
      <c r="BC1169" s="31"/>
      <c r="BD1169" s="31"/>
      <c r="BE1169" s="31"/>
      <c r="BF1169" s="31"/>
      <c r="BG1169" s="31"/>
      <c r="BH1169" s="31"/>
      <c r="BI1169" s="31"/>
    </row>
    <row r="1170" spans="38:61" x14ac:dyDescent="0.2">
      <c r="AL1170" s="31"/>
      <c r="AM1170" s="31"/>
      <c r="AN1170" s="31"/>
      <c r="AO1170" s="31"/>
      <c r="AP1170" s="31"/>
      <c r="AQ1170" s="31"/>
      <c r="AR1170" s="31"/>
      <c r="AS1170" s="31"/>
      <c r="AT1170" s="31"/>
      <c r="AU1170" s="31"/>
      <c r="AV1170" s="31"/>
      <c r="AW1170" s="31"/>
      <c r="AX1170" s="31"/>
      <c r="AY1170" s="31"/>
      <c r="AZ1170" s="31"/>
      <c r="BA1170" s="31"/>
      <c r="BB1170" s="31"/>
      <c r="BC1170" s="31"/>
      <c r="BD1170" s="31"/>
      <c r="BE1170" s="31"/>
      <c r="BF1170" s="31"/>
      <c r="BG1170" s="31"/>
      <c r="BH1170" s="31"/>
      <c r="BI1170" s="31"/>
    </row>
    <row r="1171" spans="38:61" x14ac:dyDescent="0.2">
      <c r="AL1171" s="31"/>
      <c r="AM1171" s="31"/>
      <c r="AN1171" s="31"/>
      <c r="AO1171" s="31"/>
      <c r="AP1171" s="31"/>
      <c r="AQ1171" s="31"/>
      <c r="AR1171" s="31"/>
      <c r="AS1171" s="31"/>
      <c r="AT1171" s="31"/>
      <c r="AU1171" s="31"/>
      <c r="AV1171" s="31"/>
      <c r="AW1171" s="31"/>
      <c r="AX1171" s="31"/>
      <c r="AY1171" s="31"/>
      <c r="AZ1171" s="31"/>
      <c r="BA1171" s="31"/>
      <c r="BB1171" s="31"/>
      <c r="BC1171" s="31"/>
      <c r="BD1171" s="31"/>
      <c r="BE1171" s="31"/>
      <c r="BF1171" s="31"/>
      <c r="BG1171" s="31"/>
      <c r="BH1171" s="31"/>
      <c r="BI1171" s="31"/>
    </row>
    <row r="1172" spans="38:61" x14ac:dyDescent="0.2">
      <c r="AL1172" s="31"/>
      <c r="AM1172" s="31"/>
      <c r="AN1172" s="31"/>
      <c r="AO1172" s="31"/>
      <c r="AP1172" s="31"/>
      <c r="AQ1172" s="31"/>
      <c r="AR1172" s="31"/>
      <c r="AS1172" s="31"/>
      <c r="AT1172" s="31"/>
      <c r="AU1172" s="31"/>
      <c r="AV1172" s="31"/>
      <c r="AW1172" s="31"/>
      <c r="AX1172" s="31"/>
      <c r="AY1172" s="31"/>
      <c r="AZ1172" s="31"/>
      <c r="BA1172" s="31"/>
      <c r="BB1172" s="31"/>
      <c r="BC1172" s="31"/>
      <c r="BD1172" s="31"/>
      <c r="BE1172" s="31"/>
      <c r="BF1172" s="31"/>
      <c r="BG1172" s="31"/>
      <c r="BH1172" s="31"/>
      <c r="BI1172" s="31"/>
    </row>
    <row r="1173" spans="38:61" x14ac:dyDescent="0.2">
      <c r="AL1173" s="31"/>
      <c r="AM1173" s="31"/>
      <c r="AN1173" s="31"/>
      <c r="AO1173" s="31"/>
      <c r="AP1173" s="31"/>
      <c r="AQ1173" s="31"/>
      <c r="AR1173" s="31"/>
      <c r="AS1173" s="31"/>
      <c r="AT1173" s="31"/>
      <c r="AU1173" s="31"/>
      <c r="AV1173" s="31"/>
      <c r="AW1173" s="31"/>
      <c r="AX1173" s="31"/>
      <c r="AY1173" s="31"/>
      <c r="AZ1173" s="31"/>
      <c r="BA1173" s="31"/>
      <c r="BB1173" s="31"/>
      <c r="BC1173" s="31"/>
      <c r="BD1173" s="31"/>
      <c r="BE1173" s="31"/>
      <c r="BF1173" s="31"/>
      <c r="BG1173" s="31"/>
      <c r="BH1173" s="31"/>
      <c r="BI1173" s="31"/>
    </row>
    <row r="1174" spans="38:61" x14ac:dyDescent="0.2">
      <c r="AL1174" s="31"/>
      <c r="AM1174" s="31"/>
      <c r="AN1174" s="31"/>
      <c r="AO1174" s="31"/>
      <c r="AP1174" s="31"/>
      <c r="AQ1174" s="31"/>
      <c r="AR1174" s="31"/>
      <c r="AS1174" s="31"/>
      <c r="AT1174" s="31"/>
      <c r="AU1174" s="31"/>
      <c r="AV1174" s="31"/>
      <c r="AW1174" s="31"/>
      <c r="AX1174" s="31"/>
      <c r="AY1174" s="31"/>
      <c r="AZ1174" s="31"/>
      <c r="BA1174" s="31"/>
      <c r="BB1174" s="31"/>
      <c r="BC1174" s="31"/>
      <c r="BD1174" s="31"/>
      <c r="BE1174" s="31"/>
      <c r="BF1174" s="31"/>
      <c r="BG1174" s="31"/>
      <c r="BH1174" s="31"/>
      <c r="BI1174" s="31"/>
    </row>
    <row r="1175" spans="38:61" x14ac:dyDescent="0.2">
      <c r="AL1175" s="31"/>
      <c r="AM1175" s="31"/>
      <c r="AN1175" s="31"/>
      <c r="AO1175" s="31"/>
      <c r="AP1175" s="31"/>
      <c r="AQ1175" s="31"/>
      <c r="AR1175" s="31"/>
      <c r="AS1175" s="31"/>
      <c r="AT1175" s="31"/>
      <c r="AU1175" s="31"/>
      <c r="AV1175" s="31"/>
      <c r="AW1175" s="31"/>
      <c r="AX1175" s="31"/>
      <c r="AY1175" s="31"/>
      <c r="AZ1175" s="31"/>
      <c r="BA1175" s="31"/>
      <c r="BB1175" s="31"/>
      <c r="BC1175" s="31"/>
      <c r="BD1175" s="31"/>
      <c r="BE1175" s="31"/>
      <c r="BF1175" s="31"/>
      <c r="BG1175" s="31"/>
      <c r="BH1175" s="31"/>
      <c r="BI1175" s="31"/>
    </row>
    <row r="1176" spans="38:61" x14ac:dyDescent="0.2">
      <c r="AL1176" s="31"/>
      <c r="AM1176" s="31"/>
      <c r="AN1176" s="31"/>
      <c r="AO1176" s="31"/>
      <c r="AP1176" s="31"/>
      <c r="AQ1176" s="31"/>
      <c r="AR1176" s="31"/>
      <c r="AS1176" s="31"/>
      <c r="AT1176" s="31"/>
      <c r="AU1176" s="31"/>
      <c r="AV1176" s="31"/>
      <c r="AW1176" s="31"/>
      <c r="AX1176" s="31"/>
      <c r="AY1176" s="31"/>
      <c r="AZ1176" s="31"/>
      <c r="BA1176" s="31"/>
      <c r="BB1176" s="31"/>
      <c r="BC1176" s="31"/>
      <c r="BD1176" s="31"/>
      <c r="BE1176" s="31"/>
      <c r="BF1176" s="31"/>
      <c r="BG1176" s="31"/>
      <c r="BH1176" s="31"/>
      <c r="BI1176" s="31"/>
    </row>
    <row r="1177" spans="38:61" x14ac:dyDescent="0.2">
      <c r="AL1177" s="31"/>
      <c r="AM1177" s="31"/>
      <c r="AN1177" s="31"/>
      <c r="AO1177" s="31"/>
      <c r="AP1177" s="31"/>
      <c r="AQ1177" s="31"/>
      <c r="AR1177" s="31"/>
      <c r="AS1177" s="31"/>
      <c r="AT1177" s="31"/>
      <c r="AU1177" s="31"/>
      <c r="AV1177" s="31"/>
      <c r="AW1177" s="31"/>
      <c r="AX1177" s="31"/>
      <c r="AY1177" s="31"/>
      <c r="AZ1177" s="31"/>
      <c r="BA1177" s="31"/>
      <c r="BB1177" s="31"/>
      <c r="BC1177" s="31"/>
      <c r="BD1177" s="31"/>
      <c r="BE1177" s="31"/>
      <c r="BF1177" s="31"/>
      <c r="BG1177" s="31"/>
      <c r="BH1177" s="31"/>
      <c r="BI1177" s="31"/>
    </row>
    <row r="1178" spans="38:61" x14ac:dyDescent="0.2">
      <c r="AL1178" s="31"/>
      <c r="AM1178" s="31"/>
      <c r="AN1178" s="31"/>
      <c r="AO1178" s="31"/>
      <c r="AP1178" s="31"/>
      <c r="AQ1178" s="31"/>
      <c r="AR1178" s="31"/>
      <c r="AS1178" s="31"/>
      <c r="AT1178" s="31"/>
      <c r="AU1178" s="31"/>
      <c r="AV1178" s="31"/>
      <c r="AW1178" s="31"/>
      <c r="AX1178" s="31"/>
      <c r="AY1178" s="31"/>
      <c r="AZ1178" s="31"/>
      <c r="BA1178" s="31"/>
      <c r="BB1178" s="31"/>
      <c r="BC1178" s="31"/>
      <c r="BD1178" s="31"/>
      <c r="BE1178" s="31"/>
      <c r="BF1178" s="31"/>
      <c r="BG1178" s="31"/>
      <c r="BH1178" s="31"/>
      <c r="BI1178" s="31"/>
    </row>
    <row r="1179" spans="38:61" x14ac:dyDescent="0.2">
      <c r="AL1179" s="31"/>
      <c r="AM1179" s="31"/>
      <c r="AN1179" s="31"/>
      <c r="AO1179" s="31"/>
      <c r="AP1179" s="31"/>
      <c r="AQ1179" s="31"/>
      <c r="AR1179" s="31"/>
      <c r="AS1179" s="31"/>
      <c r="AT1179" s="31"/>
      <c r="AU1179" s="31"/>
      <c r="AV1179" s="31"/>
      <c r="AW1179" s="31"/>
      <c r="AX1179" s="31"/>
      <c r="AY1179" s="31"/>
      <c r="AZ1179" s="31"/>
      <c r="BA1179" s="31"/>
      <c r="BB1179" s="31"/>
      <c r="BC1179" s="31"/>
      <c r="BD1179" s="31"/>
      <c r="BE1179" s="31"/>
      <c r="BF1179" s="31"/>
      <c r="BG1179" s="31"/>
      <c r="BH1179" s="31"/>
      <c r="BI1179" s="31"/>
    </row>
    <row r="1180" spans="38:61" x14ac:dyDescent="0.2">
      <c r="AL1180" s="31"/>
      <c r="AM1180" s="31"/>
      <c r="AN1180" s="31"/>
      <c r="AO1180" s="31"/>
      <c r="AP1180" s="31"/>
      <c r="AQ1180" s="31"/>
      <c r="AR1180" s="31"/>
      <c r="AS1180" s="31"/>
      <c r="AT1180" s="31"/>
      <c r="AU1180" s="31"/>
      <c r="AV1180" s="31"/>
      <c r="AW1180" s="31"/>
      <c r="AX1180" s="31"/>
      <c r="AY1180" s="31"/>
      <c r="AZ1180" s="31"/>
      <c r="BA1180" s="31"/>
      <c r="BB1180" s="31"/>
      <c r="BC1180" s="31"/>
      <c r="BD1180" s="31"/>
      <c r="BE1180" s="31"/>
      <c r="BF1180" s="31"/>
      <c r="BG1180" s="31"/>
      <c r="BH1180" s="31"/>
      <c r="BI1180" s="31"/>
    </row>
    <row r="1181" spans="38:61" x14ac:dyDescent="0.2">
      <c r="AL1181" s="31"/>
      <c r="AM1181" s="31"/>
      <c r="AN1181" s="31"/>
      <c r="AO1181" s="31"/>
      <c r="AP1181" s="31"/>
      <c r="AQ1181" s="31"/>
      <c r="AR1181" s="31"/>
      <c r="AS1181" s="31"/>
      <c r="AT1181" s="31"/>
      <c r="AU1181" s="31"/>
      <c r="AV1181" s="31"/>
      <c r="AW1181" s="31"/>
      <c r="AX1181" s="31"/>
      <c r="AY1181" s="31"/>
      <c r="AZ1181" s="31"/>
      <c r="BA1181" s="31"/>
      <c r="BB1181" s="31"/>
      <c r="BC1181" s="31"/>
      <c r="BD1181" s="31"/>
      <c r="BE1181" s="31"/>
      <c r="BF1181" s="31"/>
      <c r="BG1181" s="31"/>
      <c r="BH1181" s="31"/>
      <c r="BI1181" s="31"/>
    </row>
    <row r="1182" spans="38:61" x14ac:dyDescent="0.2">
      <c r="AL1182" s="31"/>
      <c r="AM1182" s="31"/>
      <c r="AN1182" s="31"/>
      <c r="AO1182" s="31"/>
      <c r="AP1182" s="31"/>
      <c r="AQ1182" s="31"/>
      <c r="AR1182" s="31"/>
      <c r="AS1182" s="31"/>
      <c r="AT1182" s="31"/>
      <c r="AU1182" s="31"/>
      <c r="AV1182" s="31"/>
      <c r="AW1182" s="31"/>
      <c r="AX1182" s="31"/>
      <c r="AY1182" s="31"/>
      <c r="AZ1182" s="31"/>
      <c r="BA1182" s="31"/>
      <c r="BB1182" s="31"/>
      <c r="BC1182" s="31"/>
      <c r="BD1182" s="31"/>
      <c r="BE1182" s="31"/>
      <c r="BF1182" s="31"/>
      <c r="BG1182" s="31"/>
      <c r="BH1182" s="31"/>
      <c r="BI1182" s="31"/>
    </row>
    <row r="1183" spans="38:61" x14ac:dyDescent="0.2">
      <c r="AL1183" s="31"/>
      <c r="AM1183" s="31"/>
      <c r="AN1183" s="31"/>
      <c r="AO1183" s="31"/>
      <c r="AP1183" s="31"/>
      <c r="AQ1183" s="31"/>
      <c r="AR1183" s="31"/>
      <c r="AS1183" s="31"/>
      <c r="AT1183" s="31"/>
      <c r="AU1183" s="31"/>
      <c r="AV1183" s="31"/>
      <c r="AW1183" s="31"/>
      <c r="AX1183" s="31"/>
      <c r="AY1183" s="31"/>
      <c r="AZ1183" s="31"/>
      <c r="BA1183" s="31"/>
      <c r="BB1183" s="31"/>
      <c r="BC1183" s="31"/>
      <c r="BD1183" s="31"/>
      <c r="BE1183" s="31"/>
      <c r="BF1183" s="31"/>
      <c r="BG1183" s="31"/>
      <c r="BH1183" s="31"/>
      <c r="BI1183" s="31"/>
    </row>
    <row r="1184" spans="38:61" x14ac:dyDescent="0.2">
      <c r="AL1184" s="31"/>
      <c r="AM1184" s="31"/>
      <c r="AN1184" s="31"/>
      <c r="AO1184" s="31"/>
      <c r="AP1184" s="31"/>
      <c r="AQ1184" s="31"/>
      <c r="AR1184" s="31"/>
      <c r="AS1184" s="31"/>
      <c r="AT1184" s="31"/>
      <c r="AU1184" s="31"/>
      <c r="AV1184" s="31"/>
      <c r="AW1184" s="31"/>
      <c r="AX1184" s="31"/>
      <c r="AY1184" s="31"/>
      <c r="AZ1184" s="31"/>
      <c r="BA1184" s="31"/>
      <c r="BB1184" s="31"/>
      <c r="BC1184" s="31"/>
      <c r="BD1184" s="31"/>
      <c r="BE1184" s="31"/>
      <c r="BF1184" s="31"/>
      <c r="BG1184" s="31"/>
      <c r="BH1184" s="31"/>
      <c r="BI1184" s="31"/>
    </row>
    <row r="1185" spans="38:61" x14ac:dyDescent="0.2">
      <c r="AL1185" s="31"/>
      <c r="AM1185" s="31"/>
      <c r="AN1185" s="31"/>
      <c r="AO1185" s="31"/>
      <c r="AP1185" s="31"/>
      <c r="AQ1185" s="31"/>
      <c r="AR1185" s="31"/>
      <c r="AS1185" s="31"/>
      <c r="AT1185" s="31"/>
      <c r="AU1185" s="31"/>
      <c r="AV1185" s="31"/>
      <c r="AW1185" s="31"/>
      <c r="AX1185" s="31"/>
      <c r="AY1185" s="31"/>
      <c r="AZ1185" s="31"/>
      <c r="BA1185" s="31"/>
      <c r="BB1185" s="31"/>
      <c r="BC1185" s="31"/>
      <c r="BD1185" s="31"/>
      <c r="BE1185" s="31"/>
      <c r="BF1185" s="31"/>
      <c r="BG1185" s="31"/>
      <c r="BH1185" s="31"/>
      <c r="BI1185" s="31"/>
    </row>
    <row r="1186" spans="38:61" x14ac:dyDescent="0.2">
      <c r="AL1186" s="31"/>
      <c r="AM1186" s="31"/>
      <c r="AN1186" s="31"/>
      <c r="AO1186" s="31"/>
      <c r="AP1186" s="31"/>
      <c r="AQ1186" s="31"/>
      <c r="AR1186" s="31"/>
      <c r="AS1186" s="31"/>
      <c r="AT1186" s="31"/>
      <c r="AU1186" s="31"/>
      <c r="AV1186" s="31"/>
      <c r="AW1186" s="31"/>
      <c r="AX1186" s="31"/>
      <c r="AY1186" s="31"/>
      <c r="AZ1186" s="31"/>
      <c r="BA1186" s="31"/>
      <c r="BB1186" s="31"/>
      <c r="BC1186" s="31"/>
      <c r="BD1186" s="31"/>
      <c r="BE1186" s="31"/>
      <c r="BF1186" s="31"/>
      <c r="BG1186" s="31"/>
      <c r="BH1186" s="31"/>
      <c r="BI1186" s="31"/>
    </row>
    <row r="1187" spans="38:61" x14ac:dyDescent="0.2">
      <c r="AL1187" s="31"/>
      <c r="AM1187" s="31"/>
      <c r="AN1187" s="31"/>
      <c r="AO1187" s="31"/>
      <c r="AP1187" s="31"/>
      <c r="AQ1187" s="31"/>
      <c r="AR1187" s="31"/>
      <c r="AS1187" s="31"/>
      <c r="AT1187" s="31"/>
      <c r="AU1187" s="31"/>
      <c r="AV1187" s="31"/>
      <c r="AW1187" s="31"/>
      <c r="AX1187" s="31"/>
      <c r="AY1187" s="31"/>
      <c r="AZ1187" s="31"/>
      <c r="BA1187" s="31"/>
      <c r="BB1187" s="31"/>
      <c r="BC1187" s="31"/>
      <c r="BD1187" s="31"/>
      <c r="BE1187" s="31"/>
      <c r="BF1187" s="31"/>
      <c r="BG1187" s="31"/>
      <c r="BH1187" s="31"/>
      <c r="BI1187" s="31"/>
    </row>
    <row r="1188" spans="38:61" x14ac:dyDescent="0.2">
      <c r="AL1188" s="31"/>
      <c r="AM1188" s="31"/>
      <c r="AN1188" s="31"/>
      <c r="AO1188" s="31"/>
      <c r="AP1188" s="31"/>
      <c r="AQ1188" s="31"/>
      <c r="AR1188" s="31"/>
      <c r="AS1188" s="31"/>
      <c r="AT1188" s="31"/>
      <c r="AU1188" s="31"/>
      <c r="AV1188" s="31"/>
      <c r="AW1188" s="31"/>
      <c r="AX1188" s="31"/>
      <c r="AY1188" s="31"/>
      <c r="AZ1188" s="31"/>
      <c r="BA1188" s="31"/>
      <c r="BB1188" s="31"/>
      <c r="BC1188" s="31"/>
      <c r="BD1188" s="31"/>
      <c r="BE1188" s="31"/>
      <c r="BF1188" s="31"/>
      <c r="BG1188" s="31"/>
      <c r="BH1188" s="31"/>
      <c r="BI1188" s="31"/>
    </row>
    <row r="1189" spans="38:61" x14ac:dyDescent="0.2">
      <c r="AL1189" s="31"/>
      <c r="AM1189" s="31"/>
      <c r="AN1189" s="31"/>
      <c r="AO1189" s="31"/>
      <c r="AP1189" s="31"/>
      <c r="AQ1189" s="31"/>
      <c r="AR1189" s="31"/>
      <c r="AS1189" s="31"/>
      <c r="AT1189" s="31"/>
      <c r="AU1189" s="31"/>
      <c r="AV1189" s="31"/>
      <c r="AW1189" s="31"/>
      <c r="AX1189" s="31"/>
      <c r="AY1189" s="31"/>
      <c r="AZ1189" s="31"/>
      <c r="BA1189" s="31"/>
      <c r="BB1189" s="31"/>
      <c r="BC1189" s="31"/>
      <c r="BD1189" s="31"/>
      <c r="BE1189" s="31"/>
      <c r="BF1189" s="31"/>
      <c r="BG1189" s="31"/>
      <c r="BH1189" s="31"/>
      <c r="BI1189" s="31"/>
    </row>
    <row r="1190" spans="38:61" x14ac:dyDescent="0.2">
      <c r="AL1190" s="31"/>
      <c r="AM1190" s="31"/>
      <c r="AN1190" s="31"/>
      <c r="AO1190" s="31"/>
      <c r="AP1190" s="31"/>
      <c r="AQ1190" s="31"/>
      <c r="AR1190" s="31"/>
      <c r="AS1190" s="31"/>
      <c r="AT1190" s="31"/>
      <c r="AU1190" s="31"/>
      <c r="AV1190" s="31"/>
      <c r="AW1190" s="31"/>
      <c r="AX1190" s="31"/>
      <c r="AY1190" s="31"/>
      <c r="AZ1190" s="31"/>
      <c r="BA1190" s="31"/>
      <c r="BB1190" s="31"/>
      <c r="BC1190" s="31"/>
      <c r="BD1190" s="31"/>
      <c r="BE1190" s="31"/>
      <c r="BF1190" s="31"/>
      <c r="BG1190" s="31"/>
      <c r="BH1190" s="31"/>
      <c r="BI1190" s="31"/>
    </row>
    <row r="1191" spans="38:61" x14ac:dyDescent="0.2">
      <c r="AL1191" s="31"/>
      <c r="AM1191" s="31"/>
      <c r="AN1191" s="31"/>
      <c r="AO1191" s="31"/>
      <c r="AP1191" s="31"/>
      <c r="AQ1191" s="31"/>
      <c r="AR1191" s="31"/>
      <c r="AS1191" s="31"/>
      <c r="AT1191" s="31"/>
      <c r="AU1191" s="31"/>
      <c r="AV1191" s="31"/>
      <c r="AW1191" s="31"/>
      <c r="AX1191" s="31"/>
      <c r="AY1191" s="31"/>
      <c r="AZ1191" s="31"/>
      <c r="BA1191" s="31"/>
      <c r="BB1191" s="31"/>
      <c r="BC1191" s="31"/>
      <c r="BD1191" s="31"/>
      <c r="BE1191" s="31"/>
      <c r="BF1191" s="31"/>
      <c r="BG1191" s="31"/>
      <c r="BH1191" s="31"/>
      <c r="BI1191" s="31"/>
    </row>
    <row r="1192" spans="38:61" x14ac:dyDescent="0.2">
      <c r="AL1192" s="31"/>
      <c r="AM1192" s="31"/>
      <c r="AN1192" s="31"/>
      <c r="AO1192" s="31"/>
      <c r="AP1192" s="31"/>
      <c r="AQ1192" s="31"/>
      <c r="AR1192" s="31"/>
      <c r="AS1192" s="31"/>
      <c r="AT1192" s="31"/>
      <c r="AU1192" s="31"/>
      <c r="AV1192" s="31"/>
      <c r="AW1192" s="31"/>
      <c r="AX1192" s="31"/>
      <c r="AY1192" s="31"/>
      <c r="AZ1192" s="31"/>
      <c r="BA1192" s="31"/>
      <c r="BB1192" s="31"/>
      <c r="BC1192" s="31"/>
      <c r="BD1192" s="31"/>
      <c r="BE1192" s="31"/>
      <c r="BF1192" s="31"/>
      <c r="BG1192" s="31"/>
      <c r="BH1192" s="31"/>
      <c r="BI1192" s="31"/>
    </row>
    <row r="1193" spans="38:61" x14ac:dyDescent="0.2">
      <c r="AL1193" s="31"/>
      <c r="AM1193" s="31"/>
      <c r="AN1193" s="31"/>
      <c r="AO1193" s="31"/>
      <c r="AP1193" s="31"/>
      <c r="AQ1193" s="31"/>
      <c r="AR1193" s="31"/>
      <c r="AS1193" s="31"/>
      <c r="AT1193" s="31"/>
      <c r="AU1193" s="31"/>
      <c r="AV1193" s="31"/>
      <c r="AW1193" s="31"/>
      <c r="AX1193" s="31"/>
      <c r="AY1193" s="31"/>
      <c r="AZ1193" s="31"/>
      <c r="BA1193" s="31"/>
      <c r="BB1193" s="31"/>
      <c r="BC1193" s="31"/>
      <c r="BD1193" s="31"/>
      <c r="BE1193" s="31"/>
      <c r="BF1193" s="31"/>
      <c r="BG1193" s="31"/>
      <c r="BH1193" s="31"/>
      <c r="BI1193" s="31"/>
    </row>
    <row r="1194" spans="38:61" x14ac:dyDescent="0.2">
      <c r="AL1194" s="31"/>
      <c r="AM1194" s="31"/>
      <c r="AN1194" s="31"/>
      <c r="AO1194" s="31"/>
      <c r="AP1194" s="31"/>
      <c r="AQ1194" s="31"/>
      <c r="AR1194" s="31"/>
      <c r="AS1194" s="31"/>
      <c r="AT1194" s="31"/>
      <c r="AU1194" s="31"/>
      <c r="AV1194" s="31"/>
      <c r="AW1194" s="31"/>
      <c r="AX1194" s="31"/>
      <c r="AY1194" s="31"/>
      <c r="AZ1194" s="31"/>
      <c r="BA1194" s="31"/>
      <c r="BB1194" s="31"/>
      <c r="BC1194" s="31"/>
      <c r="BD1194" s="31"/>
      <c r="BE1194" s="31"/>
      <c r="BF1194" s="31"/>
      <c r="BG1194" s="31"/>
      <c r="BH1194" s="31"/>
      <c r="BI1194" s="31"/>
    </row>
    <row r="1195" spans="38:61" x14ac:dyDescent="0.2">
      <c r="AL1195" s="31"/>
      <c r="AM1195" s="31"/>
      <c r="AN1195" s="31"/>
      <c r="AO1195" s="31"/>
      <c r="AP1195" s="31"/>
      <c r="AQ1195" s="31"/>
      <c r="AR1195" s="31"/>
      <c r="AS1195" s="31"/>
      <c r="AT1195" s="31"/>
      <c r="AU1195" s="31"/>
      <c r="AV1195" s="31"/>
      <c r="AW1195" s="31"/>
      <c r="AX1195" s="31"/>
      <c r="AY1195" s="31"/>
      <c r="AZ1195" s="31"/>
      <c r="BA1195" s="31"/>
      <c r="BB1195" s="31"/>
      <c r="BC1195" s="31"/>
      <c r="BD1195" s="31"/>
      <c r="BE1195" s="31"/>
      <c r="BF1195" s="31"/>
      <c r="BG1195" s="31"/>
      <c r="BH1195" s="31"/>
      <c r="BI1195" s="31"/>
    </row>
    <row r="1196" spans="38:61" x14ac:dyDescent="0.2">
      <c r="AL1196" s="31"/>
      <c r="AM1196" s="31"/>
      <c r="AN1196" s="31"/>
      <c r="AO1196" s="31"/>
      <c r="AP1196" s="31"/>
      <c r="AQ1196" s="31"/>
      <c r="AR1196" s="31"/>
      <c r="AS1196" s="31"/>
      <c r="AT1196" s="31"/>
      <c r="AU1196" s="31"/>
      <c r="AV1196" s="31"/>
      <c r="AW1196" s="31"/>
      <c r="AX1196" s="31"/>
      <c r="AY1196" s="31"/>
      <c r="AZ1196" s="31"/>
      <c r="BA1196" s="31"/>
      <c r="BB1196" s="31"/>
      <c r="BC1196" s="31"/>
      <c r="BD1196" s="31"/>
      <c r="BE1196" s="31"/>
      <c r="BF1196" s="31"/>
      <c r="BG1196" s="31"/>
      <c r="BH1196" s="31"/>
      <c r="BI1196" s="31"/>
    </row>
    <row r="1197" spans="38:61" x14ac:dyDescent="0.2">
      <c r="AL1197" s="31"/>
      <c r="AM1197" s="31"/>
      <c r="AN1197" s="31"/>
      <c r="AO1197" s="31"/>
      <c r="AP1197" s="31"/>
      <c r="AQ1197" s="31"/>
      <c r="AR1197" s="31"/>
      <c r="AS1197" s="31"/>
      <c r="AT1197" s="31"/>
      <c r="AU1197" s="31"/>
      <c r="AV1197" s="31"/>
      <c r="AW1197" s="31"/>
      <c r="AX1197" s="31"/>
      <c r="AY1197" s="31"/>
      <c r="AZ1197" s="31"/>
      <c r="BA1197" s="31"/>
      <c r="BB1197" s="31"/>
      <c r="BC1197" s="31"/>
      <c r="BD1197" s="31"/>
      <c r="BE1197" s="31"/>
      <c r="BF1197" s="31"/>
      <c r="BG1197" s="31"/>
      <c r="BH1197" s="31"/>
      <c r="BI1197" s="31"/>
    </row>
    <row r="1198" spans="38:61" x14ac:dyDescent="0.2">
      <c r="AL1198" s="31"/>
      <c r="AM1198" s="31"/>
      <c r="AN1198" s="31"/>
      <c r="AO1198" s="31"/>
      <c r="AP1198" s="31"/>
      <c r="AQ1198" s="31"/>
      <c r="AR1198" s="31"/>
      <c r="AS1198" s="31"/>
      <c r="AT1198" s="31"/>
      <c r="AU1198" s="31"/>
      <c r="AV1198" s="31"/>
      <c r="AW1198" s="31"/>
      <c r="AX1198" s="31"/>
      <c r="AY1198" s="31"/>
      <c r="AZ1198" s="31"/>
      <c r="BA1198" s="31"/>
      <c r="BB1198" s="31"/>
      <c r="BC1198" s="31"/>
      <c r="BD1198" s="31"/>
      <c r="BE1198" s="31"/>
      <c r="BF1198" s="31"/>
      <c r="BG1198" s="31"/>
      <c r="BH1198" s="31"/>
      <c r="BI1198" s="31"/>
    </row>
    <row r="1199" spans="38:61" x14ac:dyDescent="0.2">
      <c r="AL1199" s="31"/>
      <c r="AM1199" s="31"/>
      <c r="AN1199" s="31"/>
      <c r="AO1199" s="31"/>
      <c r="AP1199" s="31"/>
      <c r="AQ1199" s="31"/>
      <c r="AR1199" s="31"/>
      <c r="AS1199" s="31"/>
      <c r="AT1199" s="31"/>
      <c r="AU1199" s="31"/>
      <c r="AV1199" s="31"/>
      <c r="AW1199" s="31"/>
      <c r="AX1199" s="31"/>
      <c r="AY1199" s="31"/>
      <c r="AZ1199" s="31"/>
      <c r="BA1199" s="31"/>
      <c r="BB1199" s="31"/>
      <c r="BC1199" s="31"/>
      <c r="BD1199" s="31"/>
      <c r="BE1199" s="31"/>
      <c r="BF1199" s="31"/>
      <c r="BG1199" s="31"/>
      <c r="BH1199" s="31"/>
      <c r="BI1199" s="31"/>
    </row>
    <row r="1200" spans="38:61" x14ac:dyDescent="0.2">
      <c r="AL1200" s="31"/>
      <c r="AM1200" s="31"/>
      <c r="AN1200" s="31"/>
      <c r="AO1200" s="31"/>
      <c r="AP1200" s="31"/>
      <c r="AQ1200" s="31"/>
      <c r="AR1200" s="31"/>
      <c r="AS1200" s="31"/>
      <c r="AT1200" s="31"/>
      <c r="AU1200" s="31"/>
      <c r="AV1200" s="31"/>
      <c r="AW1200" s="31"/>
      <c r="AX1200" s="31"/>
      <c r="AY1200" s="31"/>
      <c r="AZ1200" s="31"/>
      <c r="BA1200" s="31"/>
      <c r="BB1200" s="31"/>
      <c r="BC1200" s="31"/>
      <c r="BD1200" s="31"/>
      <c r="BE1200" s="31"/>
      <c r="BF1200" s="31"/>
      <c r="BG1200" s="31"/>
      <c r="BH1200" s="31"/>
      <c r="BI1200" s="31"/>
    </row>
    <row r="1201" spans="38:61" x14ac:dyDescent="0.2">
      <c r="AL1201" s="31"/>
      <c r="AM1201" s="31"/>
      <c r="AN1201" s="31"/>
      <c r="AO1201" s="31"/>
      <c r="AP1201" s="31"/>
      <c r="AQ1201" s="31"/>
      <c r="AR1201" s="31"/>
      <c r="AS1201" s="31"/>
      <c r="AT1201" s="31"/>
      <c r="AU1201" s="31"/>
      <c r="AV1201" s="31"/>
      <c r="AW1201" s="31"/>
      <c r="AX1201" s="31"/>
      <c r="AY1201" s="31"/>
      <c r="AZ1201" s="31"/>
      <c r="BA1201" s="31"/>
      <c r="BB1201" s="31"/>
      <c r="BC1201" s="31"/>
      <c r="BD1201" s="31"/>
      <c r="BE1201" s="31"/>
      <c r="BF1201" s="31"/>
      <c r="BG1201" s="31"/>
      <c r="BH1201" s="31"/>
      <c r="BI1201" s="31"/>
    </row>
    <row r="1202" spans="38:61" x14ac:dyDescent="0.2">
      <c r="AL1202" s="31"/>
      <c r="AM1202" s="31"/>
      <c r="AN1202" s="31"/>
      <c r="AO1202" s="31"/>
      <c r="AP1202" s="31"/>
      <c r="AQ1202" s="31"/>
      <c r="AR1202" s="31"/>
      <c r="AS1202" s="31"/>
      <c r="AT1202" s="31"/>
      <c r="AU1202" s="31"/>
      <c r="AV1202" s="31"/>
      <c r="AW1202" s="31"/>
      <c r="AX1202" s="31"/>
      <c r="AY1202" s="31"/>
      <c r="AZ1202" s="31"/>
      <c r="BA1202" s="31"/>
      <c r="BB1202" s="31"/>
      <c r="BC1202" s="31"/>
      <c r="BD1202" s="31"/>
      <c r="BE1202" s="31"/>
      <c r="BF1202" s="31"/>
      <c r="BG1202" s="31"/>
      <c r="BH1202" s="31"/>
      <c r="BI1202" s="31"/>
    </row>
    <row r="1203" spans="38:61" x14ac:dyDescent="0.2">
      <c r="AL1203" s="31"/>
      <c r="AM1203" s="31"/>
      <c r="AN1203" s="31"/>
      <c r="AO1203" s="31"/>
      <c r="AP1203" s="31"/>
      <c r="AQ1203" s="31"/>
      <c r="AR1203" s="31"/>
      <c r="AS1203" s="31"/>
      <c r="AT1203" s="31"/>
      <c r="AU1203" s="31"/>
      <c r="AV1203" s="31"/>
      <c r="AW1203" s="31"/>
      <c r="AX1203" s="31"/>
      <c r="AY1203" s="31"/>
      <c r="AZ1203" s="31"/>
      <c r="BA1203" s="31"/>
      <c r="BB1203" s="31"/>
      <c r="BC1203" s="31"/>
      <c r="BD1203" s="31"/>
      <c r="BE1203" s="31"/>
      <c r="BF1203" s="31"/>
      <c r="BG1203" s="31"/>
      <c r="BH1203" s="31"/>
      <c r="BI1203" s="31"/>
    </row>
    <row r="1204" spans="38:61" x14ac:dyDescent="0.2">
      <c r="AL1204" s="31"/>
      <c r="AM1204" s="31"/>
      <c r="AN1204" s="31"/>
      <c r="AO1204" s="31"/>
      <c r="AP1204" s="31"/>
      <c r="AQ1204" s="31"/>
      <c r="AR1204" s="31"/>
      <c r="AS1204" s="31"/>
      <c r="AT1204" s="31"/>
      <c r="AU1204" s="31"/>
      <c r="AV1204" s="31"/>
      <c r="AW1204" s="31"/>
      <c r="AX1204" s="31"/>
      <c r="AY1204" s="31"/>
      <c r="AZ1204" s="31"/>
      <c r="BA1204" s="31"/>
      <c r="BB1204" s="31"/>
      <c r="BC1204" s="31"/>
      <c r="BD1204" s="31"/>
      <c r="BE1204" s="31"/>
      <c r="BF1204" s="31"/>
      <c r="BG1204" s="31"/>
      <c r="BH1204" s="31"/>
      <c r="BI1204" s="31"/>
    </row>
    <row r="1205" spans="38:61" x14ac:dyDescent="0.2">
      <c r="AL1205" s="31"/>
      <c r="AM1205" s="31"/>
      <c r="AN1205" s="31"/>
      <c r="AO1205" s="31"/>
      <c r="AP1205" s="31"/>
      <c r="AQ1205" s="31"/>
      <c r="AR1205" s="31"/>
      <c r="AS1205" s="31"/>
      <c r="AT1205" s="31"/>
      <c r="AU1205" s="31"/>
      <c r="AV1205" s="31"/>
      <c r="AW1205" s="31"/>
      <c r="AX1205" s="31"/>
      <c r="AY1205" s="31"/>
      <c r="AZ1205" s="31"/>
      <c r="BA1205" s="31"/>
      <c r="BB1205" s="31"/>
      <c r="BC1205" s="31"/>
      <c r="BD1205" s="31"/>
      <c r="BE1205" s="31"/>
      <c r="BF1205" s="31"/>
      <c r="BG1205" s="31"/>
      <c r="BH1205" s="31"/>
      <c r="BI1205" s="31"/>
    </row>
    <row r="1206" spans="38:61" x14ac:dyDescent="0.2">
      <c r="AL1206" s="31"/>
      <c r="AM1206" s="31"/>
      <c r="AN1206" s="31"/>
      <c r="AO1206" s="31"/>
      <c r="AP1206" s="31"/>
      <c r="AQ1206" s="31"/>
      <c r="AR1206" s="31"/>
      <c r="AS1206" s="31"/>
      <c r="AT1206" s="31"/>
      <c r="AU1206" s="31"/>
      <c r="AV1206" s="31"/>
      <c r="AW1206" s="31"/>
      <c r="AX1206" s="31"/>
      <c r="AY1206" s="31"/>
      <c r="AZ1206" s="31"/>
      <c r="BA1206" s="31"/>
      <c r="BB1206" s="31"/>
      <c r="BC1206" s="31"/>
      <c r="BD1206" s="31"/>
      <c r="BE1206" s="31"/>
      <c r="BF1206" s="31"/>
      <c r="BG1206" s="31"/>
      <c r="BH1206" s="31"/>
      <c r="BI1206" s="31"/>
    </row>
    <row r="1207" spans="38:61" x14ac:dyDescent="0.2">
      <c r="AL1207" s="31"/>
      <c r="AM1207" s="31"/>
      <c r="AN1207" s="31"/>
      <c r="AO1207" s="31"/>
      <c r="AP1207" s="31"/>
      <c r="AQ1207" s="31"/>
      <c r="AR1207" s="31"/>
      <c r="AS1207" s="31"/>
      <c r="AT1207" s="31"/>
      <c r="AU1207" s="31"/>
      <c r="AV1207" s="31"/>
      <c r="AW1207" s="31"/>
      <c r="AX1207" s="31"/>
      <c r="AY1207" s="31"/>
      <c r="AZ1207" s="31"/>
      <c r="BA1207" s="31"/>
      <c r="BB1207" s="31"/>
      <c r="BC1207" s="31"/>
      <c r="BD1207" s="31"/>
      <c r="BE1207" s="31"/>
      <c r="BF1207" s="31"/>
      <c r="BG1207" s="31"/>
      <c r="BH1207" s="31"/>
      <c r="BI1207" s="31"/>
    </row>
    <row r="1208" spans="38:61" x14ac:dyDescent="0.2">
      <c r="AL1208" s="31"/>
      <c r="AM1208" s="31"/>
      <c r="AN1208" s="31"/>
      <c r="AO1208" s="31"/>
      <c r="AP1208" s="31"/>
      <c r="AQ1208" s="31"/>
      <c r="AR1208" s="31"/>
      <c r="AS1208" s="31"/>
      <c r="AT1208" s="31"/>
      <c r="AU1208" s="31"/>
      <c r="AV1208" s="31"/>
      <c r="AW1208" s="31"/>
      <c r="AX1208" s="31"/>
      <c r="AY1208" s="31"/>
      <c r="AZ1208" s="31"/>
      <c r="BA1208" s="31"/>
      <c r="BB1208" s="31"/>
      <c r="BC1208" s="31"/>
      <c r="BD1208" s="31"/>
      <c r="BE1208" s="31"/>
      <c r="BF1208" s="31"/>
      <c r="BG1208" s="31"/>
      <c r="BH1208" s="31"/>
      <c r="BI1208" s="31"/>
    </row>
    <row r="1209" spans="38:61" x14ac:dyDescent="0.2">
      <c r="AL1209" s="31"/>
      <c r="AM1209" s="31"/>
      <c r="AN1209" s="31"/>
      <c r="AO1209" s="31"/>
      <c r="AP1209" s="31"/>
      <c r="AQ1209" s="31"/>
      <c r="AR1209" s="31"/>
      <c r="AS1209" s="31"/>
      <c r="AT1209" s="31"/>
      <c r="AU1209" s="31"/>
      <c r="AV1209" s="31"/>
      <c r="AW1209" s="31"/>
      <c r="AX1209" s="31"/>
      <c r="AY1209" s="31"/>
      <c r="AZ1209" s="31"/>
      <c r="BA1209" s="31"/>
      <c r="BB1209" s="31"/>
      <c r="BC1209" s="31"/>
      <c r="BD1209" s="31"/>
      <c r="BE1209" s="31"/>
      <c r="BF1209" s="31"/>
      <c r="BG1209" s="31"/>
      <c r="BH1209" s="31"/>
      <c r="BI1209" s="31"/>
    </row>
    <row r="1210" spans="38:61" x14ac:dyDescent="0.2">
      <c r="AL1210" s="31"/>
      <c r="AM1210" s="31"/>
      <c r="AN1210" s="31"/>
      <c r="AO1210" s="31"/>
      <c r="AP1210" s="31"/>
      <c r="AQ1210" s="31"/>
      <c r="AR1210" s="31"/>
      <c r="AS1210" s="31"/>
      <c r="AT1210" s="31"/>
      <c r="AU1210" s="31"/>
      <c r="AV1210" s="31"/>
      <c r="AW1210" s="31"/>
      <c r="AX1210" s="31"/>
      <c r="AY1210" s="31"/>
      <c r="AZ1210" s="31"/>
      <c r="BA1210" s="31"/>
      <c r="BB1210" s="31"/>
      <c r="BC1210" s="31"/>
      <c r="BD1210" s="31"/>
      <c r="BE1210" s="31"/>
      <c r="BF1210" s="31"/>
      <c r="BG1210" s="31"/>
      <c r="BH1210" s="31"/>
      <c r="BI1210" s="31"/>
    </row>
    <row r="1211" spans="38:61" x14ac:dyDescent="0.2">
      <c r="AL1211" s="31"/>
      <c r="AM1211" s="31"/>
      <c r="AN1211" s="31"/>
      <c r="AO1211" s="31"/>
      <c r="AP1211" s="31"/>
      <c r="AQ1211" s="31"/>
      <c r="AR1211" s="31"/>
      <c r="AS1211" s="31"/>
      <c r="AT1211" s="31"/>
      <c r="AU1211" s="31"/>
      <c r="AV1211" s="31"/>
      <c r="AW1211" s="31"/>
      <c r="AX1211" s="31"/>
      <c r="AY1211" s="31"/>
      <c r="AZ1211" s="31"/>
      <c r="BA1211" s="31"/>
      <c r="BB1211" s="31"/>
      <c r="BC1211" s="31"/>
      <c r="BD1211" s="31"/>
      <c r="BE1211" s="31"/>
      <c r="BF1211" s="31"/>
      <c r="BG1211" s="31"/>
      <c r="BH1211" s="31"/>
      <c r="BI1211" s="31"/>
    </row>
    <row r="1212" spans="38:61" x14ac:dyDescent="0.2">
      <c r="AL1212" s="31"/>
      <c r="AM1212" s="31"/>
      <c r="AN1212" s="31"/>
      <c r="AO1212" s="31"/>
      <c r="AP1212" s="31"/>
      <c r="AQ1212" s="31"/>
      <c r="AR1212" s="31"/>
      <c r="AS1212" s="31"/>
      <c r="AT1212" s="31"/>
      <c r="AU1212" s="31"/>
      <c r="AV1212" s="31"/>
      <c r="AW1212" s="31"/>
      <c r="AX1212" s="31"/>
      <c r="AY1212" s="31"/>
      <c r="AZ1212" s="31"/>
      <c r="BA1212" s="31"/>
      <c r="BB1212" s="31"/>
      <c r="BC1212" s="31"/>
      <c r="BD1212" s="31"/>
      <c r="BE1212" s="31"/>
      <c r="BF1212" s="31"/>
      <c r="BG1212" s="31"/>
      <c r="BH1212" s="31"/>
      <c r="BI1212" s="31"/>
    </row>
    <row r="1213" spans="38:61" x14ac:dyDescent="0.2">
      <c r="AL1213" s="31"/>
      <c r="AM1213" s="31"/>
      <c r="AN1213" s="31"/>
      <c r="AO1213" s="31"/>
      <c r="AP1213" s="31"/>
      <c r="AQ1213" s="31"/>
      <c r="AR1213" s="31"/>
      <c r="AS1213" s="31"/>
      <c r="AT1213" s="31"/>
      <c r="AU1213" s="31"/>
      <c r="AV1213" s="31"/>
      <c r="AW1213" s="31"/>
      <c r="AX1213" s="31"/>
      <c r="AY1213" s="31"/>
      <c r="AZ1213" s="31"/>
      <c r="BA1213" s="31"/>
      <c r="BB1213" s="31"/>
      <c r="BC1213" s="31"/>
      <c r="BD1213" s="31"/>
      <c r="BE1213" s="31"/>
      <c r="BF1213" s="31"/>
      <c r="BG1213" s="31"/>
      <c r="BH1213" s="31"/>
      <c r="BI1213" s="31"/>
    </row>
    <row r="1214" spans="38:61" x14ac:dyDescent="0.2">
      <c r="AL1214" s="31"/>
      <c r="AM1214" s="31"/>
      <c r="AN1214" s="31"/>
      <c r="AO1214" s="31"/>
      <c r="AP1214" s="31"/>
      <c r="AQ1214" s="31"/>
      <c r="AR1214" s="31"/>
      <c r="AS1214" s="31"/>
      <c r="AT1214" s="31"/>
      <c r="AU1214" s="31"/>
      <c r="AV1214" s="31"/>
      <c r="AW1214" s="31"/>
      <c r="AX1214" s="31"/>
      <c r="AY1214" s="31"/>
      <c r="AZ1214" s="31"/>
      <c r="BA1214" s="31"/>
      <c r="BB1214" s="31"/>
      <c r="BC1214" s="31"/>
      <c r="BD1214" s="31"/>
      <c r="BE1214" s="31"/>
      <c r="BF1214" s="31"/>
      <c r="BG1214" s="31"/>
      <c r="BH1214" s="31"/>
      <c r="BI1214" s="31"/>
    </row>
    <row r="1215" spans="38:61" x14ac:dyDescent="0.2">
      <c r="AL1215" s="31"/>
      <c r="AM1215" s="31"/>
      <c r="AN1215" s="31"/>
      <c r="AO1215" s="31"/>
      <c r="AP1215" s="31"/>
      <c r="AQ1215" s="31"/>
      <c r="AR1215" s="31"/>
      <c r="AS1215" s="31"/>
      <c r="AT1215" s="31"/>
      <c r="AU1215" s="31"/>
      <c r="AV1215" s="31"/>
      <c r="AW1215" s="31"/>
      <c r="AX1215" s="31"/>
      <c r="AY1215" s="31"/>
      <c r="AZ1215" s="31"/>
      <c r="BA1215" s="31"/>
      <c r="BB1215" s="31"/>
      <c r="BC1215" s="31"/>
      <c r="BD1215" s="31"/>
      <c r="BE1215" s="31"/>
      <c r="BF1215" s="31"/>
      <c r="BG1215" s="31"/>
      <c r="BH1215" s="31"/>
      <c r="BI1215" s="31"/>
    </row>
    <row r="1216" spans="38:61" x14ac:dyDescent="0.2">
      <c r="AL1216" s="31"/>
      <c r="AM1216" s="31"/>
      <c r="AN1216" s="31"/>
      <c r="AO1216" s="31"/>
      <c r="AP1216" s="31"/>
      <c r="AQ1216" s="31"/>
      <c r="AR1216" s="31"/>
      <c r="AS1216" s="31"/>
      <c r="AT1216" s="31"/>
      <c r="AU1216" s="31"/>
      <c r="AV1216" s="31"/>
      <c r="AW1216" s="31"/>
      <c r="AX1216" s="31"/>
      <c r="AY1216" s="31"/>
      <c r="AZ1216" s="31"/>
      <c r="BA1216" s="31"/>
      <c r="BB1216" s="31"/>
      <c r="BC1216" s="31"/>
      <c r="BD1216" s="31"/>
      <c r="BE1216" s="31"/>
      <c r="BF1216" s="31"/>
      <c r="BG1216" s="31"/>
      <c r="BH1216" s="31"/>
      <c r="BI1216" s="31"/>
    </row>
    <row r="1217" spans="38:61" x14ac:dyDescent="0.2">
      <c r="AL1217" s="31"/>
      <c r="AM1217" s="31"/>
      <c r="AN1217" s="31"/>
      <c r="AO1217" s="31"/>
      <c r="AP1217" s="31"/>
      <c r="AQ1217" s="31"/>
      <c r="AR1217" s="31"/>
      <c r="AS1217" s="31"/>
      <c r="AT1217" s="31"/>
      <c r="AU1217" s="31"/>
      <c r="AV1217" s="31"/>
      <c r="AW1217" s="31"/>
      <c r="AX1217" s="31"/>
      <c r="AY1217" s="31"/>
      <c r="AZ1217" s="31"/>
      <c r="BA1217" s="31"/>
      <c r="BB1217" s="31"/>
      <c r="BC1217" s="31"/>
      <c r="BD1217" s="31"/>
      <c r="BE1217" s="31"/>
      <c r="BF1217" s="31"/>
      <c r="BG1217" s="31"/>
      <c r="BH1217" s="31"/>
      <c r="BI1217" s="31"/>
    </row>
    <row r="1218" spans="38:61" x14ac:dyDescent="0.2">
      <c r="AL1218" s="31"/>
      <c r="AM1218" s="31"/>
      <c r="AN1218" s="31"/>
      <c r="AO1218" s="31"/>
      <c r="AP1218" s="31"/>
      <c r="AQ1218" s="31"/>
      <c r="AR1218" s="31"/>
      <c r="AS1218" s="31"/>
      <c r="AT1218" s="31"/>
      <c r="AU1218" s="31"/>
      <c r="AV1218" s="31"/>
      <c r="AW1218" s="31"/>
      <c r="AX1218" s="31"/>
      <c r="AY1218" s="31"/>
      <c r="AZ1218" s="31"/>
      <c r="BA1218" s="31"/>
      <c r="BB1218" s="31"/>
      <c r="BC1218" s="31"/>
      <c r="BD1218" s="31"/>
      <c r="BE1218" s="31"/>
      <c r="BF1218" s="31"/>
      <c r="BG1218" s="31"/>
      <c r="BH1218" s="31"/>
      <c r="BI1218" s="31"/>
    </row>
    <row r="1219" spans="38:61" x14ac:dyDescent="0.2">
      <c r="AL1219" s="31"/>
      <c r="AM1219" s="31"/>
      <c r="AN1219" s="31"/>
      <c r="AO1219" s="31"/>
      <c r="AP1219" s="31"/>
      <c r="AQ1219" s="31"/>
      <c r="AR1219" s="31"/>
      <c r="AS1219" s="31"/>
      <c r="AT1219" s="31"/>
      <c r="AU1219" s="31"/>
      <c r="AV1219" s="31"/>
      <c r="AW1219" s="31"/>
      <c r="AX1219" s="31"/>
      <c r="AY1219" s="31"/>
      <c r="AZ1219" s="31"/>
      <c r="BA1219" s="31"/>
      <c r="BB1219" s="31"/>
      <c r="BC1219" s="31"/>
      <c r="BD1219" s="31"/>
      <c r="BE1219" s="31"/>
      <c r="BF1219" s="31"/>
      <c r="BG1219" s="31"/>
      <c r="BH1219" s="31"/>
      <c r="BI1219" s="31"/>
    </row>
    <row r="1220" spans="38:61" x14ac:dyDescent="0.2">
      <c r="AL1220" s="31"/>
      <c r="AM1220" s="31"/>
      <c r="AN1220" s="31"/>
      <c r="AO1220" s="31"/>
      <c r="AP1220" s="31"/>
      <c r="AQ1220" s="31"/>
      <c r="AR1220" s="31"/>
      <c r="AS1220" s="31"/>
      <c r="AT1220" s="31"/>
      <c r="AU1220" s="31"/>
      <c r="AV1220" s="31"/>
      <c r="AW1220" s="31"/>
      <c r="AX1220" s="31"/>
      <c r="AY1220" s="31"/>
      <c r="AZ1220" s="31"/>
      <c r="BA1220" s="31"/>
      <c r="BB1220" s="31"/>
      <c r="BC1220" s="31"/>
      <c r="BD1220" s="31"/>
      <c r="BE1220" s="31"/>
      <c r="BF1220" s="31"/>
      <c r="BG1220" s="31"/>
      <c r="BH1220" s="31"/>
      <c r="BI1220" s="31"/>
    </row>
    <row r="1221" spans="38:61" x14ac:dyDescent="0.2">
      <c r="AL1221" s="31"/>
      <c r="AM1221" s="31"/>
      <c r="AN1221" s="31"/>
      <c r="AO1221" s="31"/>
      <c r="AP1221" s="31"/>
      <c r="AQ1221" s="31"/>
      <c r="AR1221" s="31"/>
      <c r="AS1221" s="31"/>
      <c r="AT1221" s="31"/>
      <c r="AU1221" s="31"/>
      <c r="AV1221" s="31"/>
      <c r="AW1221" s="31"/>
      <c r="AX1221" s="31"/>
      <c r="AY1221" s="31"/>
      <c r="AZ1221" s="31"/>
      <c r="BA1221" s="31"/>
      <c r="BB1221" s="31"/>
      <c r="BC1221" s="31"/>
      <c r="BD1221" s="31"/>
      <c r="BE1221" s="31"/>
      <c r="BF1221" s="31"/>
      <c r="BG1221" s="31"/>
      <c r="BH1221" s="31"/>
      <c r="BI1221" s="31"/>
    </row>
    <row r="1222" spans="38:61" x14ac:dyDescent="0.2">
      <c r="AL1222" s="31"/>
      <c r="AM1222" s="31"/>
      <c r="AN1222" s="31"/>
      <c r="AO1222" s="31"/>
      <c r="AP1222" s="31"/>
      <c r="AQ1222" s="31"/>
      <c r="AR1222" s="31"/>
      <c r="AS1222" s="31"/>
      <c r="AT1222" s="31"/>
      <c r="AU1222" s="31"/>
      <c r="AV1222" s="31"/>
      <c r="AW1222" s="31"/>
      <c r="AX1222" s="31"/>
      <c r="AY1222" s="31"/>
      <c r="AZ1222" s="31"/>
      <c r="BA1222" s="31"/>
      <c r="BB1222" s="31"/>
      <c r="BC1222" s="31"/>
      <c r="BD1222" s="31"/>
      <c r="BE1222" s="31"/>
      <c r="BF1222" s="31"/>
      <c r="BG1222" s="31"/>
      <c r="BH1222" s="31"/>
      <c r="BI1222" s="31"/>
    </row>
    <row r="1223" spans="38:61" x14ac:dyDescent="0.2">
      <c r="AL1223" s="31"/>
      <c r="AM1223" s="31"/>
      <c r="AN1223" s="31"/>
      <c r="AO1223" s="31"/>
      <c r="AP1223" s="31"/>
      <c r="AQ1223" s="31"/>
      <c r="AR1223" s="31"/>
      <c r="AS1223" s="31"/>
      <c r="AT1223" s="31"/>
      <c r="AU1223" s="31"/>
      <c r="AV1223" s="31"/>
      <c r="AW1223" s="31"/>
      <c r="AX1223" s="31"/>
      <c r="AY1223" s="31"/>
      <c r="AZ1223" s="31"/>
      <c r="BA1223" s="31"/>
      <c r="BB1223" s="31"/>
      <c r="BC1223" s="31"/>
      <c r="BD1223" s="31"/>
      <c r="BE1223" s="31"/>
      <c r="BF1223" s="31"/>
      <c r="BG1223" s="31"/>
      <c r="BH1223" s="31"/>
      <c r="BI1223" s="31"/>
    </row>
    <row r="1224" spans="38:61" x14ac:dyDescent="0.2">
      <c r="AL1224" s="31"/>
      <c r="AM1224" s="31"/>
      <c r="AN1224" s="31"/>
      <c r="AO1224" s="31"/>
      <c r="AP1224" s="31"/>
      <c r="AQ1224" s="31"/>
      <c r="AR1224" s="31"/>
      <c r="AS1224" s="31"/>
      <c r="AT1224" s="31"/>
      <c r="AU1224" s="31"/>
      <c r="AV1224" s="31"/>
      <c r="AW1224" s="31"/>
      <c r="AX1224" s="31"/>
      <c r="AY1224" s="31"/>
      <c r="AZ1224" s="31"/>
      <c r="BA1224" s="31"/>
      <c r="BB1224" s="31"/>
      <c r="BC1224" s="31"/>
      <c r="BD1224" s="31"/>
      <c r="BE1224" s="31"/>
      <c r="BF1224" s="31"/>
      <c r="BG1224" s="31"/>
      <c r="BH1224" s="31"/>
      <c r="BI1224" s="31"/>
    </row>
    <row r="1225" spans="38:61" x14ac:dyDescent="0.2">
      <c r="AL1225" s="31"/>
      <c r="AM1225" s="31"/>
      <c r="AN1225" s="31"/>
      <c r="AO1225" s="31"/>
      <c r="AP1225" s="31"/>
      <c r="AQ1225" s="31"/>
      <c r="AR1225" s="31"/>
      <c r="AS1225" s="31"/>
      <c r="AT1225" s="31"/>
      <c r="AU1225" s="31"/>
      <c r="AV1225" s="31"/>
      <c r="AW1225" s="31"/>
      <c r="AX1225" s="31"/>
      <c r="AY1225" s="31"/>
      <c r="AZ1225" s="31"/>
      <c r="BA1225" s="31"/>
      <c r="BB1225" s="31"/>
      <c r="BC1225" s="31"/>
      <c r="BD1225" s="31"/>
      <c r="BE1225" s="31"/>
      <c r="BF1225" s="31"/>
      <c r="BG1225" s="31"/>
      <c r="BH1225" s="31"/>
      <c r="BI1225" s="31"/>
    </row>
    <row r="1226" spans="38:61" x14ac:dyDescent="0.2">
      <c r="AL1226" s="31"/>
      <c r="AM1226" s="31"/>
      <c r="AN1226" s="31"/>
      <c r="AO1226" s="31"/>
      <c r="AP1226" s="31"/>
      <c r="AQ1226" s="31"/>
      <c r="AR1226" s="31"/>
      <c r="AS1226" s="31"/>
      <c r="AT1226" s="31"/>
      <c r="AU1226" s="31"/>
      <c r="AV1226" s="31"/>
      <c r="AW1226" s="31"/>
      <c r="AX1226" s="31"/>
      <c r="AY1226" s="31"/>
      <c r="AZ1226" s="31"/>
      <c r="BA1226" s="31"/>
      <c r="BB1226" s="31"/>
      <c r="BC1226" s="31"/>
      <c r="BD1226" s="31"/>
      <c r="BE1226" s="31"/>
      <c r="BF1226" s="31"/>
      <c r="BG1226" s="31"/>
      <c r="BH1226" s="31"/>
      <c r="BI1226" s="31"/>
    </row>
    <row r="1227" spans="38:61" x14ac:dyDescent="0.2">
      <c r="AL1227" s="31"/>
      <c r="AM1227" s="31"/>
      <c r="AN1227" s="31"/>
      <c r="AO1227" s="31"/>
      <c r="AP1227" s="31"/>
      <c r="AQ1227" s="31"/>
      <c r="AR1227" s="31"/>
      <c r="AS1227" s="31"/>
      <c r="AT1227" s="31"/>
      <c r="AU1227" s="31"/>
      <c r="AV1227" s="31"/>
      <c r="AW1227" s="31"/>
      <c r="AX1227" s="31"/>
      <c r="AY1227" s="31"/>
      <c r="AZ1227" s="31"/>
      <c r="BA1227" s="31"/>
      <c r="BB1227" s="31"/>
      <c r="BC1227" s="31"/>
      <c r="BD1227" s="31"/>
      <c r="BE1227" s="31"/>
      <c r="BF1227" s="31"/>
      <c r="BG1227" s="31"/>
      <c r="BH1227" s="31"/>
      <c r="BI1227" s="31"/>
    </row>
    <row r="1228" spans="38:61" x14ac:dyDescent="0.2">
      <c r="AL1228" s="31"/>
      <c r="AM1228" s="31"/>
      <c r="AN1228" s="31"/>
      <c r="AO1228" s="31"/>
      <c r="AP1228" s="31"/>
      <c r="AQ1228" s="31"/>
      <c r="AR1228" s="31"/>
      <c r="AS1228" s="31"/>
      <c r="AT1228" s="31"/>
      <c r="AU1228" s="31"/>
      <c r="AV1228" s="31"/>
      <c r="AW1228" s="31"/>
      <c r="AX1228" s="31"/>
      <c r="AY1228" s="31"/>
      <c r="AZ1228" s="31"/>
      <c r="BA1228" s="31"/>
      <c r="BB1228" s="31"/>
      <c r="BC1228" s="31"/>
      <c r="BD1228" s="31"/>
      <c r="BE1228" s="31"/>
      <c r="BF1228" s="31"/>
      <c r="BG1228" s="31"/>
      <c r="BH1228" s="31"/>
      <c r="BI1228" s="31"/>
    </row>
    <row r="1229" spans="38:61" x14ac:dyDescent="0.2">
      <c r="AL1229" s="31"/>
      <c r="AM1229" s="31"/>
      <c r="AN1229" s="31"/>
      <c r="AO1229" s="31"/>
      <c r="AP1229" s="31"/>
      <c r="AQ1229" s="31"/>
      <c r="AR1229" s="31"/>
      <c r="AS1229" s="31"/>
      <c r="AT1229" s="31"/>
      <c r="AU1229" s="31"/>
      <c r="AV1229" s="31"/>
      <c r="AW1229" s="31"/>
      <c r="AX1229" s="31"/>
      <c r="AY1229" s="31"/>
      <c r="AZ1229" s="31"/>
      <c r="BA1229" s="31"/>
      <c r="BB1229" s="31"/>
      <c r="BC1229" s="31"/>
      <c r="BD1229" s="31"/>
      <c r="BE1229" s="31"/>
      <c r="BF1229" s="31"/>
      <c r="BG1229" s="31"/>
      <c r="BH1229" s="31"/>
      <c r="BI1229" s="31"/>
    </row>
    <row r="1230" spans="38:61" x14ac:dyDescent="0.2">
      <c r="AL1230" s="31"/>
      <c r="AM1230" s="31"/>
      <c r="AN1230" s="31"/>
      <c r="AO1230" s="31"/>
      <c r="AP1230" s="31"/>
      <c r="AQ1230" s="31"/>
      <c r="AR1230" s="31"/>
      <c r="AS1230" s="31"/>
      <c r="AT1230" s="31"/>
      <c r="AU1230" s="31"/>
      <c r="AV1230" s="31"/>
      <c r="AW1230" s="31"/>
      <c r="AX1230" s="31"/>
      <c r="AY1230" s="31"/>
      <c r="AZ1230" s="31"/>
      <c r="BA1230" s="31"/>
      <c r="BB1230" s="31"/>
      <c r="BC1230" s="31"/>
      <c r="BD1230" s="31"/>
      <c r="BE1230" s="31"/>
      <c r="BF1230" s="31"/>
      <c r="BG1230" s="31"/>
      <c r="BH1230" s="31"/>
      <c r="BI1230" s="31"/>
    </row>
    <row r="1231" spans="38:61" x14ac:dyDescent="0.2">
      <c r="AL1231" s="31"/>
      <c r="AM1231" s="31"/>
      <c r="AN1231" s="31"/>
      <c r="AO1231" s="31"/>
      <c r="AP1231" s="31"/>
      <c r="AQ1231" s="31"/>
      <c r="AR1231" s="31"/>
      <c r="AS1231" s="31"/>
      <c r="AT1231" s="31"/>
      <c r="AU1231" s="31"/>
      <c r="AV1231" s="31"/>
      <c r="AW1231" s="31"/>
      <c r="AX1231" s="31"/>
      <c r="AY1231" s="31"/>
      <c r="AZ1231" s="31"/>
      <c r="BA1231" s="31"/>
      <c r="BB1231" s="31"/>
      <c r="BC1231" s="31"/>
      <c r="BD1231" s="31"/>
      <c r="BE1231" s="31"/>
      <c r="BF1231" s="31"/>
      <c r="BG1231" s="31"/>
      <c r="BH1231" s="31"/>
      <c r="BI1231" s="31"/>
    </row>
    <row r="1232" spans="38:61" x14ac:dyDescent="0.2">
      <c r="AL1232" s="31"/>
      <c r="AM1232" s="31"/>
      <c r="AN1232" s="31"/>
      <c r="AO1232" s="31"/>
      <c r="AP1232" s="31"/>
      <c r="AQ1232" s="31"/>
      <c r="AR1232" s="31"/>
      <c r="AS1232" s="31"/>
      <c r="AT1232" s="31"/>
      <c r="AU1232" s="31"/>
      <c r="AV1232" s="31"/>
      <c r="AW1232" s="31"/>
      <c r="AX1232" s="31"/>
      <c r="AY1232" s="31"/>
      <c r="AZ1232" s="31"/>
      <c r="BA1232" s="31"/>
      <c r="BB1232" s="31"/>
      <c r="BC1232" s="31"/>
      <c r="BD1232" s="31"/>
      <c r="BE1232" s="31"/>
      <c r="BF1232" s="31"/>
      <c r="BG1232" s="31"/>
      <c r="BH1232" s="31"/>
      <c r="BI1232" s="31"/>
    </row>
    <row r="1233" spans="38:61" x14ac:dyDescent="0.2">
      <c r="AL1233" s="31"/>
      <c r="AM1233" s="31"/>
      <c r="AN1233" s="31"/>
      <c r="AO1233" s="31"/>
      <c r="AP1233" s="31"/>
      <c r="AQ1233" s="31"/>
      <c r="AR1233" s="31"/>
      <c r="AS1233" s="31"/>
      <c r="AT1233" s="31"/>
      <c r="AU1233" s="31"/>
      <c r="AV1233" s="31"/>
      <c r="AW1233" s="31"/>
      <c r="AX1233" s="31"/>
      <c r="AY1233" s="31"/>
      <c r="AZ1233" s="31"/>
      <c r="BA1233" s="31"/>
      <c r="BB1233" s="31"/>
      <c r="BC1233" s="31"/>
      <c r="BD1233" s="31"/>
      <c r="BE1233" s="31"/>
      <c r="BF1233" s="31"/>
      <c r="BG1233" s="31"/>
      <c r="BH1233" s="31"/>
      <c r="BI1233" s="31"/>
    </row>
    <row r="1234" spans="38:61" x14ac:dyDescent="0.2">
      <c r="AL1234" s="31"/>
      <c r="AM1234" s="31"/>
      <c r="AN1234" s="31"/>
      <c r="AO1234" s="31"/>
      <c r="AP1234" s="31"/>
      <c r="AQ1234" s="31"/>
      <c r="AR1234" s="31"/>
      <c r="AS1234" s="31"/>
      <c r="AT1234" s="31"/>
      <c r="AU1234" s="31"/>
      <c r="AV1234" s="31"/>
      <c r="AW1234" s="31"/>
      <c r="AX1234" s="31"/>
      <c r="AY1234" s="31"/>
      <c r="AZ1234" s="31"/>
      <c r="BA1234" s="31"/>
      <c r="BB1234" s="31"/>
      <c r="BC1234" s="31"/>
      <c r="BD1234" s="31"/>
      <c r="BE1234" s="31"/>
      <c r="BF1234" s="31"/>
      <c r="BG1234" s="31"/>
      <c r="BH1234" s="31"/>
      <c r="BI1234" s="31"/>
    </row>
    <row r="1235" spans="38:61" x14ac:dyDescent="0.2">
      <c r="AL1235" s="31"/>
      <c r="AM1235" s="31"/>
      <c r="AN1235" s="31"/>
      <c r="AO1235" s="31"/>
      <c r="AP1235" s="31"/>
      <c r="AQ1235" s="31"/>
      <c r="AR1235" s="31"/>
      <c r="AS1235" s="31"/>
      <c r="AT1235" s="31"/>
      <c r="AU1235" s="31"/>
      <c r="AV1235" s="31"/>
      <c r="AW1235" s="31"/>
      <c r="AX1235" s="31"/>
      <c r="AY1235" s="31"/>
      <c r="AZ1235" s="31"/>
      <c r="BA1235" s="31"/>
      <c r="BB1235" s="31"/>
      <c r="BC1235" s="31"/>
      <c r="BD1235" s="31"/>
      <c r="BE1235" s="31"/>
      <c r="BF1235" s="31"/>
      <c r="BG1235" s="31"/>
      <c r="BH1235" s="31"/>
      <c r="BI1235" s="31"/>
    </row>
    <row r="1236" spans="38:61" x14ac:dyDescent="0.2">
      <c r="AL1236" s="31"/>
      <c r="AM1236" s="31"/>
      <c r="AN1236" s="31"/>
      <c r="AO1236" s="31"/>
      <c r="AP1236" s="31"/>
      <c r="AQ1236" s="31"/>
      <c r="AR1236" s="31"/>
      <c r="AS1236" s="31"/>
      <c r="AT1236" s="31"/>
      <c r="AU1236" s="31"/>
      <c r="AV1236" s="31"/>
      <c r="AW1236" s="31"/>
      <c r="AX1236" s="31"/>
      <c r="AY1236" s="31"/>
      <c r="AZ1236" s="31"/>
      <c r="BA1236" s="31"/>
      <c r="BB1236" s="31"/>
      <c r="BC1236" s="31"/>
      <c r="BD1236" s="31"/>
      <c r="BE1236" s="31"/>
      <c r="BF1236" s="31"/>
      <c r="BG1236" s="31"/>
      <c r="BH1236" s="31"/>
      <c r="BI1236" s="31"/>
    </row>
    <row r="1237" spans="38:61" x14ac:dyDescent="0.2">
      <c r="AL1237" s="31"/>
      <c r="AM1237" s="31"/>
      <c r="AN1237" s="31"/>
      <c r="AO1237" s="31"/>
      <c r="AP1237" s="31"/>
      <c r="AQ1237" s="31"/>
      <c r="AR1237" s="31"/>
      <c r="AS1237" s="31"/>
      <c r="AT1237" s="31"/>
      <c r="AU1237" s="31"/>
      <c r="AV1237" s="31"/>
      <c r="AW1237" s="31"/>
      <c r="AX1237" s="31"/>
      <c r="AY1237" s="31"/>
      <c r="AZ1237" s="31"/>
      <c r="BA1237" s="31"/>
      <c r="BB1237" s="31"/>
      <c r="BC1237" s="31"/>
      <c r="BD1237" s="31"/>
      <c r="BE1237" s="31"/>
      <c r="BF1237" s="31"/>
      <c r="BG1237" s="31"/>
      <c r="BH1237" s="31"/>
      <c r="BI1237" s="31"/>
    </row>
    <row r="1238" spans="38:61" x14ac:dyDescent="0.2">
      <c r="AL1238" s="31"/>
      <c r="AM1238" s="31"/>
      <c r="AN1238" s="31"/>
      <c r="AO1238" s="31"/>
      <c r="AP1238" s="31"/>
      <c r="AQ1238" s="31"/>
      <c r="AR1238" s="31"/>
      <c r="AS1238" s="31"/>
      <c r="AT1238" s="31"/>
      <c r="AU1238" s="31"/>
      <c r="AV1238" s="31"/>
      <c r="AW1238" s="31"/>
      <c r="AX1238" s="31"/>
      <c r="AY1238" s="31"/>
      <c r="AZ1238" s="31"/>
      <c r="BA1238" s="31"/>
      <c r="BB1238" s="31"/>
      <c r="BC1238" s="31"/>
      <c r="BD1238" s="31"/>
      <c r="BE1238" s="31"/>
      <c r="BF1238" s="31"/>
      <c r="BG1238" s="31"/>
      <c r="BH1238" s="31"/>
      <c r="BI1238" s="31"/>
    </row>
    <row r="1239" spans="38:61" x14ac:dyDescent="0.2">
      <c r="AL1239" s="31"/>
      <c r="AM1239" s="31"/>
      <c r="AN1239" s="31"/>
      <c r="AO1239" s="31"/>
      <c r="AP1239" s="31"/>
      <c r="AQ1239" s="31"/>
      <c r="AR1239" s="31"/>
      <c r="AS1239" s="31"/>
      <c r="AT1239" s="31"/>
      <c r="AU1239" s="31"/>
      <c r="AV1239" s="31"/>
      <c r="AW1239" s="31"/>
      <c r="AX1239" s="31"/>
      <c r="AY1239" s="31"/>
      <c r="AZ1239" s="31"/>
      <c r="BA1239" s="31"/>
      <c r="BB1239" s="31"/>
      <c r="BC1239" s="31"/>
      <c r="BD1239" s="31"/>
      <c r="BE1239" s="31"/>
      <c r="BF1239" s="31"/>
      <c r="BG1239" s="31"/>
      <c r="BH1239" s="31"/>
      <c r="BI1239" s="31"/>
    </row>
    <row r="1240" spans="38:61" x14ac:dyDescent="0.2">
      <c r="AL1240" s="31"/>
      <c r="AM1240" s="31"/>
      <c r="AN1240" s="31"/>
      <c r="AO1240" s="31"/>
      <c r="AP1240" s="31"/>
      <c r="AQ1240" s="31"/>
      <c r="AR1240" s="31"/>
      <c r="AS1240" s="31"/>
      <c r="AT1240" s="31"/>
      <c r="AU1240" s="31"/>
      <c r="AV1240" s="31"/>
      <c r="AW1240" s="31"/>
      <c r="AX1240" s="31"/>
      <c r="AY1240" s="31"/>
      <c r="AZ1240" s="31"/>
      <c r="BA1240" s="31"/>
      <c r="BB1240" s="31"/>
      <c r="BC1240" s="31"/>
      <c r="BD1240" s="31"/>
      <c r="BE1240" s="31"/>
      <c r="BF1240" s="31"/>
      <c r="BG1240" s="31"/>
      <c r="BH1240" s="31"/>
      <c r="BI1240" s="31"/>
    </row>
    <row r="1241" spans="38:61" x14ac:dyDescent="0.2">
      <c r="AL1241" s="31"/>
      <c r="AM1241" s="31"/>
      <c r="AN1241" s="31"/>
      <c r="AO1241" s="31"/>
      <c r="AP1241" s="31"/>
      <c r="AQ1241" s="31"/>
      <c r="AR1241" s="31"/>
      <c r="AS1241" s="31"/>
      <c r="AT1241" s="31"/>
      <c r="AU1241" s="31"/>
      <c r="AV1241" s="31"/>
      <c r="AW1241" s="31"/>
      <c r="AX1241" s="31"/>
      <c r="AY1241" s="31"/>
      <c r="AZ1241" s="31"/>
      <c r="BA1241" s="31"/>
      <c r="BB1241" s="31"/>
      <c r="BC1241" s="31"/>
      <c r="BD1241" s="31"/>
      <c r="BE1241" s="31"/>
      <c r="BF1241" s="31"/>
      <c r="BG1241" s="31"/>
      <c r="BH1241" s="31"/>
      <c r="BI1241" s="31"/>
    </row>
    <row r="1242" spans="38:61" x14ac:dyDescent="0.2">
      <c r="AL1242" s="31"/>
      <c r="AM1242" s="31"/>
      <c r="AN1242" s="31"/>
      <c r="AO1242" s="31"/>
      <c r="AP1242" s="31"/>
      <c r="AQ1242" s="31"/>
      <c r="AR1242" s="31"/>
      <c r="AS1242" s="31"/>
      <c r="AT1242" s="31"/>
      <c r="AU1242" s="31"/>
      <c r="AV1242" s="31"/>
      <c r="AW1242" s="31"/>
      <c r="AX1242" s="31"/>
      <c r="AY1242" s="31"/>
      <c r="AZ1242" s="31"/>
      <c r="BA1242" s="31"/>
      <c r="BB1242" s="31"/>
      <c r="BC1242" s="31"/>
      <c r="BD1242" s="31"/>
      <c r="BE1242" s="31"/>
      <c r="BF1242" s="31"/>
      <c r="BG1242" s="31"/>
      <c r="BH1242" s="31"/>
      <c r="BI1242" s="31"/>
    </row>
    <row r="1243" spans="38:61" x14ac:dyDescent="0.2">
      <c r="AL1243" s="31"/>
      <c r="AM1243" s="31"/>
      <c r="AN1243" s="31"/>
      <c r="AO1243" s="31"/>
      <c r="AP1243" s="31"/>
      <c r="AQ1243" s="31"/>
      <c r="AR1243" s="31"/>
      <c r="AS1243" s="31"/>
      <c r="AT1243" s="31"/>
      <c r="AU1243" s="31"/>
      <c r="AV1243" s="31"/>
      <c r="AW1243" s="31"/>
      <c r="AX1243" s="31"/>
      <c r="AY1243" s="31"/>
      <c r="AZ1243" s="31"/>
      <c r="BA1243" s="31"/>
      <c r="BB1243" s="31"/>
      <c r="BC1243" s="31"/>
      <c r="BD1243" s="31"/>
      <c r="BE1243" s="31"/>
      <c r="BF1243" s="31"/>
      <c r="BG1243" s="31"/>
      <c r="BH1243" s="31"/>
      <c r="BI1243" s="31"/>
    </row>
    <row r="1244" spans="38:61" x14ac:dyDescent="0.2">
      <c r="AL1244" s="31"/>
      <c r="AM1244" s="31"/>
      <c r="AN1244" s="31"/>
      <c r="AO1244" s="31"/>
      <c r="AP1244" s="31"/>
      <c r="AQ1244" s="31"/>
      <c r="AR1244" s="31"/>
      <c r="AS1244" s="31"/>
      <c r="AT1244" s="31"/>
      <c r="AU1244" s="31"/>
      <c r="AV1244" s="31"/>
      <c r="AW1244" s="31"/>
      <c r="AX1244" s="31"/>
      <c r="AY1244" s="31"/>
      <c r="AZ1244" s="31"/>
      <c r="BA1244" s="31"/>
      <c r="BB1244" s="31"/>
      <c r="BC1244" s="31"/>
      <c r="BD1244" s="31"/>
      <c r="BE1244" s="31"/>
      <c r="BF1244" s="31"/>
      <c r="BG1244" s="31"/>
      <c r="BH1244" s="31"/>
      <c r="BI1244" s="31"/>
    </row>
    <row r="1245" spans="38:61" x14ac:dyDescent="0.2">
      <c r="AL1245" s="31"/>
      <c r="AM1245" s="31"/>
      <c r="AN1245" s="31"/>
      <c r="AO1245" s="31"/>
      <c r="AP1245" s="31"/>
      <c r="AQ1245" s="31"/>
      <c r="AR1245" s="31"/>
      <c r="AS1245" s="31"/>
      <c r="AT1245" s="31"/>
      <c r="AU1245" s="31"/>
      <c r="AV1245" s="31"/>
      <c r="AW1245" s="31"/>
      <c r="AX1245" s="31"/>
      <c r="AY1245" s="31"/>
      <c r="AZ1245" s="31"/>
      <c r="BA1245" s="31"/>
      <c r="BB1245" s="31"/>
      <c r="BC1245" s="31"/>
      <c r="BD1245" s="31"/>
      <c r="BE1245" s="31"/>
      <c r="BF1245" s="31"/>
      <c r="BG1245" s="31"/>
      <c r="BH1245" s="31"/>
      <c r="BI1245" s="31"/>
    </row>
    <row r="1246" spans="38:61" x14ac:dyDescent="0.2">
      <c r="AL1246" s="31"/>
      <c r="AM1246" s="31"/>
      <c r="AN1246" s="31"/>
      <c r="AO1246" s="31"/>
      <c r="AP1246" s="31"/>
      <c r="AQ1246" s="31"/>
      <c r="AR1246" s="31"/>
      <c r="AS1246" s="31"/>
      <c r="AT1246" s="31"/>
      <c r="AU1246" s="31"/>
      <c r="AV1246" s="31"/>
      <c r="AW1246" s="31"/>
      <c r="AX1246" s="31"/>
      <c r="AY1246" s="31"/>
      <c r="AZ1246" s="31"/>
      <c r="BA1246" s="31"/>
      <c r="BB1246" s="31"/>
      <c r="BC1246" s="31"/>
      <c r="BD1246" s="31"/>
      <c r="BE1246" s="31"/>
      <c r="BF1246" s="31"/>
      <c r="BG1246" s="31"/>
      <c r="BH1246" s="31"/>
      <c r="BI1246" s="31"/>
    </row>
    <row r="1247" spans="38:61" x14ac:dyDescent="0.2">
      <c r="AL1247" s="31"/>
      <c r="AM1247" s="31"/>
      <c r="AN1247" s="31"/>
      <c r="AO1247" s="31"/>
      <c r="AP1247" s="31"/>
      <c r="AQ1247" s="31"/>
      <c r="AR1247" s="31"/>
      <c r="AS1247" s="31"/>
      <c r="AT1247" s="31"/>
      <c r="AU1247" s="31"/>
      <c r="AV1247" s="31"/>
      <c r="AW1247" s="31"/>
      <c r="AX1247" s="31"/>
      <c r="AY1247" s="31"/>
      <c r="AZ1247" s="31"/>
      <c r="BA1247" s="31"/>
      <c r="BB1247" s="31"/>
      <c r="BC1247" s="31"/>
      <c r="BD1247" s="31"/>
      <c r="BE1247" s="31"/>
      <c r="BF1247" s="31"/>
      <c r="BG1247" s="31"/>
      <c r="BH1247" s="31"/>
      <c r="BI1247" s="31"/>
    </row>
    <row r="1248" spans="38:61" x14ac:dyDescent="0.2">
      <c r="AL1248" s="31"/>
      <c r="AM1248" s="31"/>
      <c r="AN1248" s="31"/>
      <c r="AO1248" s="31"/>
      <c r="AP1248" s="31"/>
      <c r="AQ1248" s="31"/>
      <c r="AR1248" s="31"/>
      <c r="AS1248" s="31"/>
      <c r="AT1248" s="31"/>
      <c r="AU1248" s="31"/>
      <c r="AV1248" s="31"/>
      <c r="AW1248" s="31"/>
      <c r="AX1248" s="31"/>
      <c r="AY1248" s="31"/>
      <c r="AZ1248" s="31"/>
      <c r="BA1248" s="31"/>
      <c r="BB1248" s="31"/>
      <c r="BC1248" s="31"/>
      <c r="BD1248" s="31"/>
      <c r="BE1248" s="31"/>
      <c r="BF1248" s="31"/>
      <c r="BG1248" s="31"/>
      <c r="BH1248" s="31"/>
      <c r="BI1248" s="31"/>
    </row>
    <row r="1249" spans="38:61" x14ac:dyDescent="0.2">
      <c r="AL1249" s="31"/>
      <c r="AM1249" s="31"/>
      <c r="AN1249" s="31"/>
      <c r="AO1249" s="31"/>
      <c r="AP1249" s="31"/>
      <c r="AQ1249" s="31"/>
      <c r="AR1249" s="31"/>
      <c r="AS1249" s="31"/>
      <c r="AT1249" s="31"/>
      <c r="AU1249" s="31"/>
      <c r="AV1249" s="31"/>
      <c r="AW1249" s="31"/>
      <c r="AX1249" s="31"/>
      <c r="AY1249" s="31"/>
      <c r="AZ1249" s="31"/>
      <c r="BA1249" s="31"/>
      <c r="BB1249" s="31"/>
      <c r="BC1249" s="31"/>
      <c r="BD1249" s="31"/>
      <c r="BE1249" s="31"/>
      <c r="BF1249" s="31"/>
      <c r="BG1249" s="31"/>
      <c r="BH1249" s="31"/>
      <c r="BI1249" s="31"/>
    </row>
    <row r="1250" spans="38:61" x14ac:dyDescent="0.2">
      <c r="AL1250" s="31"/>
      <c r="AM1250" s="31"/>
      <c r="AN1250" s="31"/>
      <c r="AO1250" s="31"/>
      <c r="AP1250" s="31"/>
      <c r="AQ1250" s="31"/>
      <c r="AR1250" s="31"/>
      <c r="AS1250" s="31"/>
      <c r="AT1250" s="31"/>
      <c r="AU1250" s="31"/>
      <c r="AV1250" s="31"/>
      <c r="AW1250" s="31"/>
      <c r="AX1250" s="31"/>
      <c r="AY1250" s="31"/>
      <c r="AZ1250" s="31"/>
      <c r="BA1250" s="31"/>
      <c r="BB1250" s="31"/>
      <c r="BC1250" s="31"/>
      <c r="BD1250" s="31"/>
      <c r="BE1250" s="31"/>
      <c r="BF1250" s="31"/>
      <c r="BG1250" s="31"/>
      <c r="BH1250" s="31"/>
      <c r="BI1250" s="31"/>
    </row>
    <row r="1251" spans="38:61" x14ac:dyDescent="0.2">
      <c r="AL1251" s="31"/>
      <c r="AM1251" s="31"/>
      <c r="AN1251" s="31"/>
      <c r="AO1251" s="31"/>
      <c r="AP1251" s="31"/>
      <c r="AQ1251" s="31"/>
      <c r="AR1251" s="31"/>
      <c r="AS1251" s="31"/>
      <c r="AT1251" s="31"/>
      <c r="AU1251" s="31"/>
      <c r="AV1251" s="31"/>
      <c r="AW1251" s="31"/>
      <c r="AX1251" s="31"/>
      <c r="AY1251" s="31"/>
      <c r="AZ1251" s="31"/>
      <c r="BA1251" s="31"/>
      <c r="BB1251" s="31"/>
      <c r="BC1251" s="31"/>
      <c r="BD1251" s="31"/>
      <c r="BE1251" s="31"/>
      <c r="BF1251" s="31"/>
      <c r="BG1251" s="31"/>
      <c r="BH1251" s="31"/>
      <c r="BI1251" s="31"/>
    </row>
    <row r="1252" spans="38:61" x14ac:dyDescent="0.2">
      <c r="AL1252" s="31"/>
      <c r="AM1252" s="31"/>
      <c r="AN1252" s="31"/>
      <c r="AO1252" s="31"/>
      <c r="AP1252" s="31"/>
      <c r="AQ1252" s="31"/>
      <c r="AR1252" s="31"/>
      <c r="AS1252" s="31"/>
      <c r="AT1252" s="31"/>
      <c r="AU1252" s="31"/>
      <c r="AV1252" s="31"/>
      <c r="AW1252" s="31"/>
      <c r="AX1252" s="31"/>
      <c r="AY1252" s="31"/>
      <c r="AZ1252" s="31"/>
      <c r="BA1252" s="31"/>
      <c r="BB1252" s="31"/>
      <c r="BC1252" s="31"/>
      <c r="BD1252" s="31"/>
      <c r="BE1252" s="31"/>
      <c r="BF1252" s="31"/>
      <c r="BG1252" s="31"/>
      <c r="BH1252" s="31"/>
      <c r="BI1252" s="31"/>
    </row>
    <row r="1253" spans="38:61" x14ac:dyDescent="0.2">
      <c r="AL1253" s="31"/>
      <c r="AM1253" s="31"/>
      <c r="AN1253" s="31"/>
      <c r="AO1253" s="31"/>
      <c r="AP1253" s="31"/>
      <c r="AQ1253" s="31"/>
      <c r="AR1253" s="31"/>
      <c r="AS1253" s="31"/>
      <c r="AT1253" s="31"/>
      <c r="AU1253" s="31"/>
      <c r="AV1253" s="31"/>
      <c r="AW1253" s="31"/>
      <c r="AX1253" s="31"/>
      <c r="AY1253" s="31"/>
      <c r="AZ1253" s="31"/>
      <c r="BA1253" s="31"/>
      <c r="BB1253" s="31"/>
      <c r="BC1253" s="31"/>
      <c r="BD1253" s="31"/>
      <c r="BE1253" s="31"/>
      <c r="BF1253" s="31"/>
      <c r="BG1253" s="31"/>
      <c r="BH1253" s="31"/>
      <c r="BI1253" s="31"/>
    </row>
    <row r="1254" spans="38:61" x14ac:dyDescent="0.2">
      <c r="AL1254" s="31"/>
      <c r="AM1254" s="31"/>
      <c r="AN1254" s="31"/>
      <c r="AO1254" s="31"/>
      <c r="AP1254" s="31"/>
      <c r="AQ1254" s="31"/>
      <c r="AR1254" s="31"/>
      <c r="AS1254" s="31"/>
      <c r="AT1254" s="31"/>
      <c r="AU1254" s="31"/>
      <c r="AV1254" s="31"/>
      <c r="AW1254" s="31"/>
      <c r="AX1254" s="31"/>
      <c r="AY1254" s="31"/>
      <c r="AZ1254" s="31"/>
      <c r="BA1254" s="31"/>
      <c r="BB1254" s="31"/>
      <c r="BC1254" s="31"/>
      <c r="BD1254" s="31"/>
      <c r="BE1254" s="31"/>
      <c r="BF1254" s="31"/>
      <c r="BG1254" s="31"/>
      <c r="BH1254" s="31"/>
      <c r="BI1254" s="31"/>
    </row>
    <row r="1255" spans="38:61" x14ac:dyDescent="0.2">
      <c r="AL1255" s="31"/>
      <c r="AM1255" s="31"/>
      <c r="AN1255" s="31"/>
      <c r="AO1255" s="31"/>
      <c r="AP1255" s="31"/>
      <c r="AQ1255" s="31"/>
      <c r="AR1255" s="31"/>
      <c r="AS1255" s="31"/>
      <c r="AT1255" s="31"/>
      <c r="AU1255" s="31"/>
      <c r="AV1255" s="31"/>
      <c r="AW1255" s="31"/>
      <c r="AX1255" s="31"/>
      <c r="AY1255" s="31"/>
      <c r="AZ1255" s="31"/>
      <c r="BA1255" s="31"/>
      <c r="BB1255" s="31"/>
      <c r="BC1255" s="31"/>
      <c r="BD1255" s="31"/>
      <c r="BE1255" s="31"/>
      <c r="BF1255" s="31"/>
      <c r="BG1255" s="31"/>
      <c r="BH1255" s="31"/>
      <c r="BI1255" s="31"/>
    </row>
    <row r="1256" spans="38:61" x14ac:dyDescent="0.2">
      <c r="AL1256" s="31"/>
      <c r="AM1256" s="31"/>
      <c r="AN1256" s="31"/>
      <c r="AO1256" s="31"/>
      <c r="AP1256" s="31"/>
      <c r="AQ1256" s="31"/>
      <c r="AR1256" s="31"/>
      <c r="AS1256" s="31"/>
      <c r="AT1256" s="31"/>
      <c r="AU1256" s="31"/>
      <c r="AV1256" s="31"/>
      <c r="AW1256" s="31"/>
      <c r="AX1256" s="31"/>
      <c r="AY1256" s="31"/>
      <c r="AZ1256" s="31"/>
      <c r="BA1256" s="31"/>
      <c r="BB1256" s="31"/>
      <c r="BC1256" s="31"/>
      <c r="BD1256" s="31"/>
      <c r="BE1256" s="31"/>
      <c r="BF1256" s="31"/>
      <c r="BG1256" s="31"/>
      <c r="BH1256" s="31"/>
      <c r="BI1256" s="31"/>
    </row>
    <row r="1257" spans="38:61" x14ac:dyDescent="0.2">
      <c r="AL1257" s="31"/>
      <c r="AM1257" s="31"/>
      <c r="AN1257" s="31"/>
      <c r="AO1257" s="31"/>
      <c r="AP1257" s="31"/>
      <c r="AQ1257" s="31"/>
      <c r="AR1257" s="31"/>
      <c r="AS1257" s="31"/>
      <c r="AT1257" s="31"/>
      <c r="AU1257" s="31"/>
      <c r="AV1257" s="31"/>
      <c r="AW1257" s="31"/>
      <c r="AX1257" s="31"/>
      <c r="AY1257" s="31"/>
      <c r="AZ1257" s="31"/>
      <c r="BA1257" s="31"/>
      <c r="BB1257" s="31"/>
      <c r="BC1257" s="31"/>
      <c r="BD1257" s="31"/>
      <c r="BE1257" s="31"/>
      <c r="BF1257" s="31"/>
      <c r="BG1257" s="31"/>
      <c r="BH1257" s="31"/>
      <c r="BI1257" s="31"/>
    </row>
    <row r="1258" spans="38:61" x14ac:dyDescent="0.2">
      <c r="AL1258" s="31"/>
      <c r="AM1258" s="31"/>
      <c r="AN1258" s="31"/>
      <c r="AO1258" s="31"/>
      <c r="AP1258" s="31"/>
      <c r="AQ1258" s="31"/>
      <c r="AR1258" s="31"/>
      <c r="AS1258" s="31"/>
      <c r="AT1258" s="31"/>
      <c r="AU1258" s="31"/>
      <c r="AV1258" s="31"/>
      <c r="AW1258" s="31"/>
      <c r="AX1258" s="31"/>
      <c r="AY1258" s="31"/>
      <c r="AZ1258" s="31"/>
      <c r="BA1258" s="31"/>
      <c r="BB1258" s="31"/>
      <c r="BC1258" s="31"/>
      <c r="BD1258" s="31"/>
      <c r="BE1258" s="31"/>
      <c r="BF1258" s="31"/>
      <c r="BG1258" s="31"/>
      <c r="BH1258" s="31"/>
      <c r="BI1258" s="31"/>
    </row>
    <row r="1259" spans="38:61" x14ac:dyDescent="0.2">
      <c r="AL1259" s="31"/>
      <c r="AM1259" s="31"/>
      <c r="AN1259" s="31"/>
      <c r="AO1259" s="31"/>
      <c r="AP1259" s="31"/>
      <c r="AQ1259" s="31"/>
      <c r="AR1259" s="31"/>
      <c r="AS1259" s="31"/>
      <c r="AT1259" s="31"/>
      <c r="AU1259" s="31"/>
      <c r="AV1259" s="31"/>
      <c r="AW1259" s="31"/>
      <c r="AX1259" s="31"/>
      <c r="AY1259" s="31"/>
      <c r="AZ1259" s="31"/>
      <c r="BA1259" s="31"/>
      <c r="BB1259" s="31"/>
      <c r="BC1259" s="31"/>
      <c r="BD1259" s="31"/>
      <c r="BE1259" s="31"/>
      <c r="BF1259" s="31"/>
      <c r="BG1259" s="31"/>
      <c r="BH1259" s="31"/>
      <c r="BI1259" s="31"/>
    </row>
    <row r="1260" spans="38:61" x14ac:dyDescent="0.2">
      <c r="AL1260" s="31"/>
      <c r="AM1260" s="31"/>
      <c r="AN1260" s="31"/>
      <c r="AO1260" s="31"/>
      <c r="AP1260" s="31"/>
      <c r="AQ1260" s="31"/>
      <c r="AR1260" s="31"/>
      <c r="AS1260" s="31"/>
      <c r="AT1260" s="31"/>
      <c r="AU1260" s="31"/>
      <c r="AV1260" s="31"/>
      <c r="AW1260" s="31"/>
      <c r="AX1260" s="31"/>
      <c r="AY1260" s="31"/>
      <c r="AZ1260" s="31"/>
      <c r="BA1260" s="31"/>
      <c r="BB1260" s="31"/>
      <c r="BC1260" s="31"/>
      <c r="BD1260" s="31"/>
      <c r="BE1260" s="31"/>
      <c r="BF1260" s="31"/>
      <c r="BG1260" s="31"/>
      <c r="BH1260" s="31"/>
      <c r="BI1260" s="31"/>
    </row>
    <row r="1261" spans="38:61" x14ac:dyDescent="0.2">
      <c r="AL1261" s="31"/>
      <c r="AM1261" s="31"/>
      <c r="AN1261" s="31"/>
      <c r="AO1261" s="31"/>
      <c r="AP1261" s="31"/>
      <c r="AQ1261" s="31"/>
      <c r="AR1261" s="31"/>
      <c r="AS1261" s="31"/>
      <c r="AT1261" s="31"/>
      <c r="AU1261" s="31"/>
      <c r="AV1261" s="31"/>
      <c r="AW1261" s="31"/>
      <c r="AX1261" s="31"/>
      <c r="AY1261" s="31"/>
      <c r="AZ1261" s="31"/>
      <c r="BA1261" s="31"/>
      <c r="BB1261" s="31"/>
      <c r="BC1261" s="31"/>
      <c r="BD1261" s="31"/>
      <c r="BE1261" s="31"/>
      <c r="BF1261" s="31"/>
      <c r="BG1261" s="31"/>
      <c r="BH1261" s="31"/>
      <c r="BI1261" s="31"/>
    </row>
    <row r="1262" spans="38:61" x14ac:dyDescent="0.2">
      <c r="AL1262" s="31"/>
      <c r="AM1262" s="31"/>
      <c r="AN1262" s="31"/>
      <c r="AO1262" s="31"/>
      <c r="AP1262" s="31"/>
      <c r="AQ1262" s="31"/>
      <c r="AR1262" s="31"/>
      <c r="AS1262" s="31"/>
      <c r="AT1262" s="31"/>
      <c r="AU1262" s="31"/>
      <c r="AV1262" s="31"/>
      <c r="AW1262" s="31"/>
      <c r="AX1262" s="31"/>
      <c r="AY1262" s="31"/>
      <c r="AZ1262" s="31"/>
      <c r="BA1262" s="31"/>
      <c r="BB1262" s="31"/>
      <c r="BC1262" s="31"/>
      <c r="BD1262" s="31"/>
      <c r="BE1262" s="31"/>
      <c r="BF1262" s="31"/>
      <c r="BG1262" s="31"/>
      <c r="BH1262" s="31"/>
      <c r="BI1262" s="31"/>
    </row>
    <row r="1263" spans="38:61" x14ac:dyDescent="0.2">
      <c r="AL1263" s="31"/>
      <c r="AM1263" s="31"/>
      <c r="AN1263" s="31"/>
      <c r="AO1263" s="31"/>
      <c r="AP1263" s="31"/>
      <c r="AQ1263" s="31"/>
      <c r="AR1263" s="31"/>
      <c r="AS1263" s="31"/>
      <c r="AT1263" s="31"/>
      <c r="AU1263" s="31"/>
      <c r="AV1263" s="31"/>
      <c r="AW1263" s="31"/>
      <c r="AX1263" s="31"/>
      <c r="AY1263" s="31"/>
      <c r="AZ1263" s="31"/>
      <c r="BA1263" s="31"/>
      <c r="BB1263" s="31"/>
      <c r="BC1263" s="31"/>
      <c r="BD1263" s="31"/>
      <c r="BE1263" s="31"/>
      <c r="BF1263" s="31"/>
      <c r="BG1263" s="31"/>
      <c r="BH1263" s="31"/>
      <c r="BI1263" s="31"/>
    </row>
    <row r="1264" spans="38:61" x14ac:dyDescent="0.2">
      <c r="AL1264" s="31"/>
      <c r="AM1264" s="31"/>
      <c r="AN1264" s="31"/>
      <c r="AO1264" s="31"/>
      <c r="AP1264" s="31"/>
      <c r="AQ1264" s="31"/>
      <c r="AR1264" s="31"/>
      <c r="AS1264" s="31"/>
      <c r="AT1264" s="31"/>
      <c r="AU1264" s="31"/>
      <c r="AV1264" s="31"/>
      <c r="AW1264" s="31"/>
      <c r="AX1264" s="31"/>
      <c r="AY1264" s="31"/>
      <c r="AZ1264" s="31"/>
      <c r="BA1264" s="31"/>
      <c r="BB1264" s="31"/>
      <c r="BC1264" s="31"/>
      <c r="BD1264" s="31"/>
      <c r="BE1264" s="31"/>
      <c r="BF1264" s="31"/>
      <c r="BG1264" s="31"/>
      <c r="BH1264" s="31"/>
      <c r="BI1264" s="31"/>
    </row>
    <row r="1265" spans="38:61" x14ac:dyDescent="0.2">
      <c r="AL1265" s="31"/>
      <c r="AM1265" s="31"/>
      <c r="AN1265" s="31"/>
      <c r="AO1265" s="31"/>
      <c r="AP1265" s="31"/>
      <c r="AQ1265" s="31"/>
      <c r="AR1265" s="31"/>
      <c r="AS1265" s="31"/>
      <c r="AT1265" s="31"/>
      <c r="AU1265" s="31"/>
      <c r="AV1265" s="31"/>
      <c r="AW1265" s="31"/>
      <c r="AX1265" s="31"/>
      <c r="AY1265" s="31"/>
      <c r="AZ1265" s="31"/>
      <c r="BA1265" s="31"/>
      <c r="BB1265" s="31"/>
      <c r="BC1265" s="31"/>
      <c r="BD1265" s="31"/>
      <c r="BE1265" s="31"/>
      <c r="BF1265" s="31"/>
      <c r="BG1265" s="31"/>
      <c r="BH1265" s="31"/>
      <c r="BI1265" s="31"/>
    </row>
    <row r="1266" spans="38:61" x14ac:dyDescent="0.2">
      <c r="AL1266" s="31"/>
      <c r="AM1266" s="31"/>
      <c r="AN1266" s="31"/>
      <c r="AO1266" s="31"/>
      <c r="AP1266" s="31"/>
      <c r="AQ1266" s="31"/>
      <c r="AR1266" s="31"/>
      <c r="AS1266" s="31"/>
      <c r="AT1266" s="31"/>
      <c r="AU1266" s="31"/>
      <c r="AV1266" s="31"/>
      <c r="AW1266" s="31"/>
      <c r="AX1266" s="31"/>
      <c r="AY1266" s="31"/>
      <c r="AZ1266" s="31"/>
      <c r="BA1266" s="31"/>
      <c r="BB1266" s="31"/>
      <c r="BC1266" s="31"/>
      <c r="BD1266" s="31"/>
      <c r="BE1266" s="31"/>
      <c r="BF1266" s="31"/>
      <c r="BG1266" s="31"/>
      <c r="BH1266" s="31"/>
      <c r="BI1266" s="31"/>
    </row>
    <row r="1267" spans="38:61" x14ac:dyDescent="0.2">
      <c r="AL1267" s="31"/>
      <c r="AM1267" s="31"/>
      <c r="AN1267" s="31"/>
      <c r="AO1267" s="31"/>
      <c r="AP1267" s="31"/>
      <c r="AQ1267" s="31"/>
      <c r="AR1267" s="31"/>
      <c r="AS1267" s="31"/>
      <c r="AT1267" s="31"/>
      <c r="AU1267" s="31"/>
      <c r="AV1267" s="31"/>
      <c r="AW1267" s="31"/>
      <c r="AX1267" s="31"/>
      <c r="AY1267" s="31"/>
      <c r="AZ1267" s="31"/>
      <c r="BA1267" s="31"/>
      <c r="BB1267" s="31"/>
      <c r="BC1267" s="31"/>
      <c r="BD1267" s="31"/>
      <c r="BE1267" s="31"/>
      <c r="BF1267" s="31"/>
      <c r="BG1267" s="31"/>
      <c r="BH1267" s="31"/>
      <c r="BI1267" s="31"/>
    </row>
    <row r="1268" spans="38:61" x14ac:dyDescent="0.2">
      <c r="AL1268" s="31"/>
      <c r="AM1268" s="31"/>
      <c r="AN1268" s="31"/>
      <c r="AO1268" s="31"/>
      <c r="AP1268" s="31"/>
      <c r="AQ1268" s="31"/>
      <c r="AR1268" s="31"/>
      <c r="AS1268" s="31"/>
      <c r="AT1268" s="31"/>
      <c r="AU1268" s="31"/>
      <c r="AV1268" s="31"/>
      <c r="AW1268" s="31"/>
      <c r="AX1268" s="31"/>
      <c r="AY1268" s="31"/>
      <c r="AZ1268" s="31"/>
      <c r="BA1268" s="31"/>
      <c r="BB1268" s="31"/>
      <c r="BC1268" s="31"/>
      <c r="BD1268" s="31"/>
      <c r="BE1268" s="31"/>
      <c r="BF1268" s="31"/>
      <c r="BG1268" s="31"/>
      <c r="BH1268" s="31"/>
      <c r="BI1268" s="31"/>
    </row>
    <row r="1269" spans="38:61" x14ac:dyDescent="0.2">
      <c r="AL1269" s="31"/>
      <c r="AM1269" s="31"/>
      <c r="AN1269" s="31"/>
      <c r="AO1269" s="31"/>
      <c r="AP1269" s="31"/>
      <c r="AQ1269" s="31"/>
      <c r="AR1269" s="31"/>
      <c r="AS1269" s="31"/>
      <c r="AT1269" s="31"/>
      <c r="AU1269" s="31"/>
      <c r="AV1269" s="31"/>
      <c r="AW1269" s="31"/>
      <c r="AX1269" s="31"/>
      <c r="AY1269" s="31"/>
      <c r="AZ1269" s="31"/>
      <c r="BA1269" s="31"/>
      <c r="BB1269" s="31"/>
      <c r="BC1269" s="31"/>
      <c r="BD1269" s="31"/>
      <c r="BE1269" s="31"/>
      <c r="BF1269" s="31"/>
      <c r="BG1269" s="31"/>
      <c r="BH1269" s="31"/>
      <c r="BI1269" s="31"/>
    </row>
    <row r="1270" spans="38:61" x14ac:dyDescent="0.2">
      <c r="AL1270" s="31"/>
      <c r="AM1270" s="31"/>
      <c r="AN1270" s="31"/>
      <c r="AO1270" s="31"/>
      <c r="AP1270" s="31"/>
      <c r="AQ1270" s="31"/>
      <c r="AR1270" s="31"/>
      <c r="AS1270" s="31"/>
      <c r="AT1270" s="31"/>
      <c r="AU1270" s="31"/>
      <c r="AV1270" s="31"/>
      <c r="AW1270" s="31"/>
      <c r="AX1270" s="31"/>
      <c r="AY1270" s="31"/>
      <c r="AZ1270" s="31"/>
      <c r="BA1270" s="31"/>
      <c r="BB1270" s="31"/>
      <c r="BC1270" s="31"/>
      <c r="BD1270" s="31"/>
      <c r="BE1270" s="31"/>
      <c r="BF1270" s="31"/>
      <c r="BG1270" s="31"/>
      <c r="BH1270" s="31"/>
      <c r="BI1270" s="31"/>
    </row>
    <row r="1271" spans="38:61" x14ac:dyDescent="0.2">
      <c r="AL1271" s="31"/>
      <c r="AM1271" s="31"/>
      <c r="AN1271" s="31"/>
      <c r="AO1271" s="31"/>
      <c r="AP1271" s="31"/>
      <c r="AQ1271" s="31"/>
      <c r="AR1271" s="31"/>
      <c r="AS1271" s="31"/>
      <c r="AT1271" s="31"/>
      <c r="AU1271" s="31"/>
      <c r="AV1271" s="31"/>
      <c r="AW1271" s="31"/>
      <c r="AX1271" s="31"/>
      <c r="AY1271" s="31"/>
      <c r="AZ1271" s="31"/>
      <c r="BA1271" s="31"/>
      <c r="BB1271" s="31"/>
      <c r="BC1271" s="31"/>
      <c r="BD1271" s="31"/>
      <c r="BE1271" s="31"/>
      <c r="BF1271" s="31"/>
      <c r="BG1271" s="31"/>
      <c r="BH1271" s="31"/>
      <c r="BI1271" s="31"/>
    </row>
    <row r="1272" spans="38:61" x14ac:dyDescent="0.2">
      <c r="AL1272" s="31"/>
      <c r="AM1272" s="31"/>
      <c r="AN1272" s="31"/>
      <c r="AO1272" s="31"/>
      <c r="AP1272" s="31"/>
      <c r="AQ1272" s="31"/>
      <c r="AR1272" s="31"/>
      <c r="AS1272" s="31"/>
      <c r="AT1272" s="31"/>
      <c r="AU1272" s="31"/>
      <c r="AV1272" s="31"/>
      <c r="AW1272" s="31"/>
      <c r="AX1272" s="31"/>
      <c r="AY1272" s="31"/>
      <c r="AZ1272" s="31"/>
      <c r="BA1272" s="31"/>
      <c r="BB1272" s="31"/>
      <c r="BC1272" s="31"/>
      <c r="BD1272" s="31"/>
      <c r="BE1272" s="31"/>
      <c r="BF1272" s="31"/>
      <c r="BG1272" s="31"/>
      <c r="BH1272" s="31"/>
      <c r="BI1272" s="31"/>
    </row>
    <row r="1273" spans="38:61" x14ac:dyDescent="0.2">
      <c r="AL1273" s="31"/>
      <c r="AM1273" s="31"/>
      <c r="AN1273" s="31"/>
      <c r="AO1273" s="31"/>
      <c r="AP1273" s="31"/>
      <c r="AQ1273" s="31"/>
      <c r="AR1273" s="31"/>
      <c r="AS1273" s="31"/>
      <c r="AT1273" s="31"/>
      <c r="AU1273" s="31"/>
      <c r="AV1273" s="31"/>
      <c r="AW1273" s="31"/>
      <c r="AX1273" s="31"/>
      <c r="AY1273" s="31"/>
      <c r="AZ1273" s="31"/>
      <c r="BA1273" s="31"/>
      <c r="BB1273" s="31"/>
      <c r="BC1273" s="31"/>
      <c r="BD1273" s="31"/>
      <c r="BE1273" s="31"/>
      <c r="BF1273" s="31"/>
      <c r="BG1273" s="31"/>
      <c r="BH1273" s="31"/>
      <c r="BI1273" s="31"/>
    </row>
    <row r="1274" spans="38:61" x14ac:dyDescent="0.2">
      <c r="AL1274" s="31"/>
      <c r="AM1274" s="31"/>
      <c r="AN1274" s="31"/>
      <c r="AO1274" s="31"/>
      <c r="AP1274" s="31"/>
      <c r="AQ1274" s="31"/>
      <c r="AR1274" s="31"/>
      <c r="AS1274" s="31"/>
      <c r="AT1274" s="31"/>
      <c r="AU1274" s="31"/>
      <c r="AV1274" s="31"/>
      <c r="AW1274" s="31"/>
      <c r="AX1274" s="31"/>
      <c r="AY1274" s="31"/>
      <c r="AZ1274" s="31"/>
      <c r="BA1274" s="31"/>
      <c r="BB1274" s="31"/>
      <c r="BC1274" s="31"/>
      <c r="BD1274" s="31"/>
      <c r="BE1274" s="31"/>
      <c r="BF1274" s="31"/>
      <c r="BG1274" s="31"/>
      <c r="BH1274" s="31"/>
      <c r="BI1274" s="31"/>
    </row>
    <row r="1275" spans="38:61" x14ac:dyDescent="0.2">
      <c r="AL1275" s="31"/>
      <c r="AM1275" s="31"/>
      <c r="AN1275" s="31"/>
      <c r="AO1275" s="31"/>
      <c r="AP1275" s="31"/>
      <c r="AQ1275" s="31"/>
      <c r="AR1275" s="31"/>
      <c r="AS1275" s="31"/>
      <c r="AT1275" s="31"/>
      <c r="AU1275" s="31"/>
      <c r="AV1275" s="31"/>
      <c r="AW1275" s="31"/>
      <c r="AX1275" s="31"/>
      <c r="AY1275" s="31"/>
      <c r="AZ1275" s="31"/>
      <c r="BA1275" s="31"/>
      <c r="BB1275" s="31"/>
      <c r="BC1275" s="31"/>
      <c r="BD1275" s="31"/>
      <c r="BE1275" s="31"/>
      <c r="BF1275" s="31"/>
      <c r="BG1275" s="31"/>
      <c r="BH1275" s="31"/>
      <c r="BI1275" s="31"/>
    </row>
    <row r="1276" spans="38:61" x14ac:dyDescent="0.2">
      <c r="AL1276" s="31"/>
      <c r="AM1276" s="31"/>
      <c r="AN1276" s="31"/>
      <c r="AO1276" s="31"/>
      <c r="AP1276" s="31"/>
      <c r="AQ1276" s="31"/>
      <c r="AR1276" s="31"/>
      <c r="AS1276" s="31"/>
      <c r="AT1276" s="31"/>
      <c r="AU1276" s="31"/>
      <c r="AV1276" s="31"/>
      <c r="AW1276" s="31"/>
      <c r="AX1276" s="31"/>
      <c r="AY1276" s="31"/>
      <c r="AZ1276" s="31"/>
      <c r="BA1276" s="31"/>
      <c r="BB1276" s="31"/>
      <c r="BC1276" s="31"/>
      <c r="BD1276" s="31"/>
      <c r="BE1276" s="31"/>
      <c r="BF1276" s="31"/>
      <c r="BG1276" s="31"/>
      <c r="BH1276" s="31"/>
      <c r="BI1276" s="31"/>
    </row>
    <row r="1277" spans="38:61" x14ac:dyDescent="0.2">
      <c r="AL1277" s="31"/>
      <c r="AM1277" s="31"/>
      <c r="AN1277" s="31"/>
      <c r="AO1277" s="31"/>
      <c r="AP1277" s="31"/>
      <c r="AQ1277" s="31"/>
      <c r="AR1277" s="31"/>
      <c r="AS1277" s="31"/>
      <c r="AT1277" s="31"/>
      <c r="AU1277" s="31"/>
      <c r="AV1277" s="31"/>
      <c r="AW1277" s="31"/>
      <c r="AX1277" s="31"/>
      <c r="AY1277" s="31"/>
      <c r="AZ1277" s="31"/>
      <c r="BA1277" s="31"/>
      <c r="BB1277" s="31"/>
      <c r="BC1277" s="31"/>
      <c r="BD1277" s="31"/>
      <c r="BE1277" s="31"/>
      <c r="BF1277" s="31"/>
      <c r="BG1277" s="31"/>
      <c r="BH1277" s="31"/>
      <c r="BI1277" s="31"/>
    </row>
    <row r="1278" spans="38:61" x14ac:dyDescent="0.2">
      <c r="AL1278" s="31"/>
      <c r="AM1278" s="31"/>
      <c r="AN1278" s="31"/>
      <c r="AO1278" s="31"/>
      <c r="AP1278" s="31"/>
      <c r="AQ1278" s="31"/>
      <c r="AR1278" s="31"/>
      <c r="AS1278" s="31"/>
      <c r="AT1278" s="31"/>
      <c r="AU1278" s="31"/>
      <c r="AV1278" s="31"/>
      <c r="AW1278" s="31"/>
      <c r="AX1278" s="31"/>
      <c r="AY1278" s="31"/>
      <c r="AZ1278" s="31"/>
      <c r="BA1278" s="31"/>
      <c r="BB1278" s="31"/>
      <c r="BC1278" s="31"/>
      <c r="BD1278" s="31"/>
      <c r="BE1278" s="31"/>
      <c r="BF1278" s="31"/>
      <c r="BG1278" s="31"/>
      <c r="BH1278" s="31"/>
      <c r="BI1278" s="31"/>
    </row>
    <row r="1279" spans="38:61" x14ac:dyDescent="0.2">
      <c r="AL1279" s="31"/>
      <c r="AM1279" s="31"/>
      <c r="AN1279" s="31"/>
      <c r="AO1279" s="31"/>
      <c r="AP1279" s="31"/>
      <c r="AQ1279" s="31"/>
      <c r="AR1279" s="31"/>
      <c r="AS1279" s="31"/>
      <c r="AT1279" s="31"/>
      <c r="AU1279" s="31"/>
      <c r="AV1279" s="31"/>
      <c r="AW1279" s="31"/>
      <c r="AX1279" s="31"/>
      <c r="AY1279" s="31"/>
      <c r="AZ1279" s="31"/>
      <c r="BA1279" s="31"/>
      <c r="BB1279" s="31"/>
      <c r="BC1279" s="31"/>
      <c r="BD1279" s="31"/>
      <c r="BE1279" s="31"/>
      <c r="BF1279" s="31"/>
      <c r="BG1279" s="31"/>
      <c r="BH1279" s="31"/>
      <c r="BI1279" s="31"/>
    </row>
    <row r="1280" spans="38:61" x14ac:dyDescent="0.2">
      <c r="AL1280" s="31"/>
      <c r="AM1280" s="31"/>
      <c r="AN1280" s="31"/>
      <c r="AO1280" s="31"/>
      <c r="AP1280" s="31"/>
      <c r="AQ1280" s="31"/>
      <c r="AR1280" s="31"/>
      <c r="AS1280" s="31"/>
      <c r="AT1280" s="31"/>
      <c r="AU1280" s="31"/>
      <c r="AV1280" s="31"/>
      <c r="AW1280" s="31"/>
      <c r="AX1280" s="31"/>
      <c r="AY1280" s="31"/>
      <c r="AZ1280" s="31"/>
      <c r="BA1280" s="31"/>
      <c r="BB1280" s="31"/>
      <c r="BC1280" s="31"/>
      <c r="BD1280" s="31"/>
      <c r="BE1280" s="31"/>
      <c r="BF1280" s="31"/>
      <c r="BG1280" s="31"/>
      <c r="BH1280" s="31"/>
      <c r="BI1280" s="31"/>
    </row>
    <row r="1281" spans="38:61" x14ac:dyDescent="0.2">
      <c r="AL1281" s="31"/>
      <c r="AM1281" s="31"/>
      <c r="AN1281" s="31"/>
      <c r="AO1281" s="31"/>
      <c r="AP1281" s="31"/>
      <c r="AQ1281" s="31"/>
      <c r="AR1281" s="31"/>
      <c r="AS1281" s="31"/>
      <c r="AT1281" s="31"/>
      <c r="AU1281" s="31"/>
      <c r="AV1281" s="31"/>
      <c r="AW1281" s="31"/>
      <c r="AX1281" s="31"/>
      <c r="AY1281" s="31"/>
      <c r="AZ1281" s="31"/>
      <c r="BA1281" s="31"/>
      <c r="BB1281" s="31"/>
      <c r="BC1281" s="31"/>
      <c r="BD1281" s="31"/>
      <c r="BE1281" s="31"/>
      <c r="BF1281" s="31"/>
      <c r="BG1281" s="31"/>
      <c r="BH1281" s="31"/>
      <c r="BI1281" s="31"/>
    </row>
    <row r="1282" spans="38:61" x14ac:dyDescent="0.2">
      <c r="AL1282" s="31"/>
      <c r="AM1282" s="31"/>
      <c r="AN1282" s="31"/>
      <c r="AO1282" s="31"/>
      <c r="AP1282" s="31"/>
      <c r="AQ1282" s="31"/>
      <c r="AR1282" s="31"/>
      <c r="AS1282" s="31"/>
      <c r="AT1282" s="31"/>
      <c r="AU1282" s="31"/>
      <c r="AV1282" s="31"/>
      <c r="AW1282" s="31"/>
      <c r="AX1282" s="31"/>
      <c r="AY1282" s="31"/>
      <c r="AZ1282" s="31"/>
      <c r="BA1282" s="31"/>
      <c r="BB1282" s="31"/>
      <c r="BC1282" s="31"/>
      <c r="BD1282" s="31"/>
      <c r="BE1282" s="31"/>
      <c r="BF1282" s="31"/>
      <c r="BG1282" s="31"/>
      <c r="BH1282" s="31"/>
      <c r="BI1282" s="31"/>
    </row>
    <row r="1283" spans="38:61" x14ac:dyDescent="0.2">
      <c r="AL1283" s="31"/>
      <c r="AM1283" s="31"/>
      <c r="AN1283" s="31"/>
      <c r="AO1283" s="31"/>
      <c r="AP1283" s="31"/>
      <c r="AQ1283" s="31"/>
      <c r="AR1283" s="31"/>
      <c r="AS1283" s="31"/>
      <c r="AT1283" s="31"/>
      <c r="AU1283" s="31"/>
      <c r="AV1283" s="31"/>
      <c r="AW1283" s="31"/>
      <c r="AX1283" s="31"/>
      <c r="AY1283" s="31"/>
      <c r="AZ1283" s="31"/>
      <c r="BA1283" s="31"/>
      <c r="BB1283" s="31"/>
      <c r="BC1283" s="31"/>
      <c r="BD1283" s="31"/>
      <c r="BE1283" s="31"/>
      <c r="BF1283" s="31"/>
      <c r="BG1283" s="31"/>
      <c r="BH1283" s="31"/>
      <c r="BI1283" s="31"/>
    </row>
    <row r="1284" spans="38:61" x14ac:dyDescent="0.2">
      <c r="AL1284" s="31"/>
      <c r="AM1284" s="31"/>
      <c r="AN1284" s="31"/>
      <c r="AO1284" s="31"/>
      <c r="AP1284" s="31"/>
      <c r="AQ1284" s="31"/>
      <c r="AR1284" s="31"/>
      <c r="AS1284" s="31"/>
      <c r="AT1284" s="31"/>
      <c r="AU1284" s="31"/>
      <c r="AV1284" s="31"/>
      <c r="AW1284" s="31"/>
      <c r="AX1284" s="31"/>
      <c r="AY1284" s="31"/>
      <c r="AZ1284" s="31"/>
      <c r="BA1284" s="31"/>
      <c r="BB1284" s="31"/>
      <c r="BC1284" s="31"/>
      <c r="BD1284" s="31"/>
      <c r="BE1284" s="31"/>
      <c r="BF1284" s="31"/>
      <c r="BG1284" s="31"/>
      <c r="BH1284" s="31"/>
      <c r="BI1284" s="31"/>
    </row>
    <row r="1285" spans="38:61" x14ac:dyDescent="0.2">
      <c r="AL1285" s="31"/>
      <c r="AM1285" s="31"/>
      <c r="AN1285" s="31"/>
      <c r="AO1285" s="31"/>
      <c r="AP1285" s="31"/>
      <c r="AQ1285" s="31"/>
      <c r="AR1285" s="31"/>
      <c r="AS1285" s="31"/>
      <c r="AT1285" s="31"/>
      <c r="AU1285" s="31"/>
      <c r="AV1285" s="31"/>
      <c r="AW1285" s="31"/>
      <c r="AX1285" s="31"/>
      <c r="AY1285" s="31"/>
      <c r="AZ1285" s="31"/>
      <c r="BA1285" s="31"/>
      <c r="BB1285" s="31"/>
      <c r="BC1285" s="31"/>
      <c r="BD1285" s="31"/>
      <c r="BE1285" s="31"/>
      <c r="BF1285" s="31"/>
      <c r="BG1285" s="31"/>
      <c r="BH1285" s="31"/>
      <c r="BI1285" s="31"/>
    </row>
    <row r="1286" spans="38:61" x14ac:dyDescent="0.2">
      <c r="AL1286" s="31"/>
      <c r="AM1286" s="31"/>
      <c r="AN1286" s="31"/>
      <c r="AO1286" s="31"/>
      <c r="AP1286" s="31"/>
      <c r="AQ1286" s="31"/>
      <c r="AR1286" s="31"/>
      <c r="AS1286" s="31"/>
      <c r="AT1286" s="31"/>
      <c r="AU1286" s="31"/>
      <c r="AV1286" s="31"/>
      <c r="AW1286" s="31"/>
      <c r="AX1286" s="31"/>
      <c r="AY1286" s="31"/>
      <c r="AZ1286" s="31"/>
      <c r="BA1286" s="31"/>
      <c r="BB1286" s="31"/>
      <c r="BC1286" s="31"/>
      <c r="BD1286" s="31"/>
      <c r="BE1286" s="31"/>
      <c r="BF1286" s="31"/>
      <c r="BG1286" s="31"/>
      <c r="BH1286" s="31"/>
      <c r="BI1286" s="31"/>
    </row>
    <row r="1287" spans="38:61" x14ac:dyDescent="0.2">
      <c r="AL1287" s="31"/>
      <c r="AM1287" s="31"/>
      <c r="AN1287" s="31"/>
      <c r="AO1287" s="31"/>
      <c r="AP1287" s="31"/>
      <c r="AQ1287" s="31"/>
      <c r="AR1287" s="31"/>
      <c r="AS1287" s="31"/>
      <c r="AT1287" s="31"/>
      <c r="AU1287" s="31"/>
      <c r="AV1287" s="31"/>
      <c r="AW1287" s="31"/>
      <c r="AX1287" s="31"/>
      <c r="AY1287" s="31"/>
      <c r="AZ1287" s="31"/>
      <c r="BA1287" s="31"/>
      <c r="BB1287" s="31"/>
      <c r="BC1287" s="31"/>
      <c r="BD1287" s="31"/>
      <c r="BE1287" s="31"/>
      <c r="BF1287" s="31"/>
      <c r="BG1287" s="31"/>
      <c r="BH1287" s="31"/>
      <c r="BI1287" s="31"/>
    </row>
    <row r="1288" spans="38:61" x14ac:dyDescent="0.2">
      <c r="AL1288" s="31"/>
      <c r="AM1288" s="31"/>
      <c r="AN1288" s="31"/>
      <c r="AO1288" s="31"/>
      <c r="AP1288" s="31"/>
      <c r="AQ1288" s="31"/>
      <c r="AR1288" s="31"/>
      <c r="AS1288" s="31"/>
      <c r="AT1288" s="31"/>
      <c r="AU1288" s="31"/>
      <c r="AV1288" s="31"/>
      <c r="AW1288" s="31"/>
      <c r="AX1288" s="31"/>
      <c r="AY1288" s="31"/>
      <c r="AZ1288" s="31"/>
      <c r="BA1288" s="31"/>
      <c r="BB1288" s="31"/>
      <c r="BC1288" s="31"/>
      <c r="BD1288" s="31"/>
      <c r="BE1288" s="31"/>
      <c r="BF1288" s="31"/>
      <c r="BG1288" s="31"/>
      <c r="BH1288" s="31"/>
      <c r="BI1288" s="31"/>
    </row>
    <row r="1289" spans="38:61" x14ac:dyDescent="0.2">
      <c r="AL1289" s="31"/>
      <c r="AM1289" s="31"/>
      <c r="AN1289" s="31"/>
      <c r="AO1289" s="31"/>
      <c r="AP1289" s="31"/>
      <c r="AQ1289" s="31"/>
      <c r="AR1289" s="31"/>
      <c r="AS1289" s="31"/>
      <c r="AT1289" s="31"/>
      <c r="AU1289" s="31"/>
      <c r="AV1289" s="31"/>
      <c r="AW1289" s="31"/>
      <c r="AX1289" s="31"/>
      <c r="AY1289" s="31"/>
      <c r="AZ1289" s="31"/>
      <c r="BA1289" s="31"/>
      <c r="BB1289" s="31"/>
      <c r="BC1289" s="31"/>
      <c r="BD1289" s="31"/>
      <c r="BE1289" s="31"/>
      <c r="BF1289" s="31"/>
      <c r="BG1289" s="31"/>
      <c r="BH1289" s="31"/>
      <c r="BI1289" s="31"/>
    </row>
    <row r="1290" spans="38:61" x14ac:dyDescent="0.2">
      <c r="AL1290" s="31"/>
      <c r="AM1290" s="31"/>
      <c r="AN1290" s="31"/>
      <c r="AO1290" s="31"/>
      <c r="AP1290" s="31"/>
      <c r="AQ1290" s="31"/>
      <c r="AR1290" s="31"/>
      <c r="AS1290" s="31"/>
      <c r="AT1290" s="31"/>
      <c r="AU1290" s="31"/>
      <c r="AV1290" s="31"/>
      <c r="AW1290" s="31"/>
      <c r="AX1290" s="31"/>
      <c r="AY1290" s="31"/>
      <c r="AZ1290" s="31"/>
      <c r="BA1290" s="31"/>
      <c r="BB1290" s="31"/>
      <c r="BC1290" s="31"/>
      <c r="BD1290" s="31"/>
      <c r="BE1290" s="31"/>
      <c r="BF1290" s="31"/>
      <c r="BG1290" s="31"/>
      <c r="BH1290" s="31"/>
      <c r="BI1290" s="31"/>
    </row>
    <row r="1291" spans="38:61" x14ac:dyDescent="0.2">
      <c r="AL1291" s="31"/>
      <c r="AM1291" s="31"/>
      <c r="AN1291" s="31"/>
      <c r="AO1291" s="31"/>
      <c r="AP1291" s="31"/>
      <c r="AQ1291" s="31"/>
      <c r="AR1291" s="31"/>
      <c r="AS1291" s="31"/>
      <c r="AT1291" s="31"/>
      <c r="AU1291" s="31"/>
      <c r="AV1291" s="31"/>
      <c r="AW1291" s="31"/>
      <c r="AX1291" s="31"/>
      <c r="AY1291" s="31"/>
      <c r="AZ1291" s="31"/>
      <c r="BA1291" s="31"/>
      <c r="BB1291" s="31"/>
      <c r="BC1291" s="31"/>
      <c r="BD1291" s="31"/>
      <c r="BE1291" s="31"/>
      <c r="BF1291" s="31"/>
      <c r="BG1291" s="31"/>
      <c r="BH1291" s="31"/>
      <c r="BI1291" s="31"/>
    </row>
    <row r="1292" spans="38:61" x14ac:dyDescent="0.2">
      <c r="AL1292" s="31"/>
      <c r="AM1292" s="31"/>
      <c r="AN1292" s="31"/>
      <c r="AO1292" s="31"/>
      <c r="AP1292" s="31"/>
      <c r="AQ1292" s="31"/>
      <c r="AR1292" s="31"/>
      <c r="AS1292" s="31"/>
      <c r="AT1292" s="31"/>
      <c r="AU1292" s="31"/>
      <c r="AV1292" s="31"/>
      <c r="AW1292" s="31"/>
      <c r="AX1292" s="31"/>
      <c r="AY1292" s="31"/>
      <c r="AZ1292" s="31"/>
      <c r="BA1292" s="31"/>
      <c r="BB1292" s="31"/>
      <c r="BC1292" s="31"/>
      <c r="BD1292" s="31"/>
      <c r="BE1292" s="31"/>
      <c r="BF1292" s="31"/>
      <c r="BG1292" s="31"/>
      <c r="BH1292" s="31"/>
      <c r="BI1292" s="31"/>
    </row>
    <row r="1293" spans="38:61" x14ac:dyDescent="0.2">
      <c r="AL1293" s="31"/>
      <c r="AM1293" s="31"/>
      <c r="AN1293" s="31"/>
      <c r="AO1293" s="31"/>
      <c r="AP1293" s="31"/>
      <c r="AQ1293" s="31"/>
      <c r="AR1293" s="31"/>
      <c r="AS1293" s="31"/>
      <c r="AT1293" s="31"/>
      <c r="AU1293" s="31"/>
      <c r="AV1293" s="31"/>
      <c r="AW1293" s="31"/>
      <c r="AX1293" s="31"/>
      <c r="AY1293" s="31"/>
      <c r="AZ1293" s="31"/>
      <c r="BA1293" s="31"/>
      <c r="BB1293" s="31"/>
      <c r="BC1293" s="31"/>
      <c r="BD1293" s="31"/>
      <c r="BE1293" s="31"/>
      <c r="BF1293" s="31"/>
      <c r="BG1293" s="31"/>
      <c r="BH1293" s="31"/>
      <c r="BI1293" s="31"/>
    </row>
    <row r="1294" spans="38:61" x14ac:dyDescent="0.2">
      <c r="AL1294" s="31"/>
      <c r="AM1294" s="31"/>
      <c r="AN1294" s="31"/>
      <c r="AO1294" s="31"/>
      <c r="AP1294" s="31"/>
      <c r="AQ1294" s="31"/>
      <c r="AR1294" s="31"/>
      <c r="AS1294" s="31"/>
      <c r="AT1294" s="31"/>
      <c r="AU1294" s="31"/>
      <c r="AV1294" s="31"/>
      <c r="AW1294" s="31"/>
      <c r="AX1294" s="31"/>
      <c r="AY1294" s="31"/>
      <c r="AZ1294" s="31"/>
      <c r="BA1294" s="31"/>
      <c r="BB1294" s="31"/>
      <c r="BC1294" s="31"/>
      <c r="BD1294" s="31"/>
      <c r="BE1294" s="31"/>
      <c r="BF1294" s="31"/>
      <c r="BG1294" s="31"/>
      <c r="BH1294" s="31"/>
      <c r="BI1294" s="31"/>
    </row>
    <row r="1295" spans="38:61" x14ac:dyDescent="0.2">
      <c r="AL1295" s="31"/>
      <c r="AM1295" s="31"/>
      <c r="AN1295" s="31"/>
      <c r="AO1295" s="31"/>
      <c r="AP1295" s="31"/>
      <c r="AQ1295" s="31"/>
      <c r="AR1295" s="31"/>
      <c r="AS1295" s="31"/>
      <c r="AT1295" s="31"/>
      <c r="AU1295" s="31"/>
      <c r="AV1295" s="31"/>
      <c r="AW1295" s="31"/>
      <c r="AX1295" s="31"/>
      <c r="AY1295" s="31"/>
      <c r="AZ1295" s="31"/>
      <c r="BA1295" s="31"/>
      <c r="BB1295" s="31"/>
      <c r="BC1295" s="31"/>
      <c r="BD1295" s="31"/>
      <c r="BE1295" s="31"/>
      <c r="BF1295" s="31"/>
      <c r="BG1295" s="31"/>
      <c r="BH1295" s="31"/>
      <c r="BI1295" s="31"/>
    </row>
    <row r="1296" spans="38:61" x14ac:dyDescent="0.2">
      <c r="AL1296" s="31"/>
      <c r="AM1296" s="31"/>
      <c r="AN1296" s="31"/>
      <c r="AO1296" s="31"/>
      <c r="AP1296" s="31"/>
      <c r="AQ1296" s="31"/>
      <c r="AR1296" s="31"/>
      <c r="AS1296" s="31"/>
      <c r="AT1296" s="31"/>
      <c r="AU1296" s="31"/>
      <c r="AV1296" s="31"/>
      <c r="AW1296" s="31"/>
      <c r="AX1296" s="31"/>
      <c r="AY1296" s="31"/>
      <c r="AZ1296" s="31"/>
      <c r="BA1296" s="31"/>
      <c r="BB1296" s="31"/>
      <c r="BC1296" s="31"/>
      <c r="BD1296" s="31"/>
      <c r="BE1296" s="31"/>
      <c r="BF1296" s="31"/>
      <c r="BG1296" s="31"/>
      <c r="BH1296" s="31"/>
      <c r="BI1296" s="31"/>
    </row>
    <row r="1297" spans="38:61" x14ac:dyDescent="0.2">
      <c r="AL1297" s="31"/>
      <c r="AM1297" s="31"/>
      <c r="AN1297" s="31"/>
      <c r="AO1297" s="31"/>
      <c r="AP1297" s="31"/>
      <c r="AQ1297" s="31"/>
      <c r="AR1297" s="31"/>
      <c r="AS1297" s="31"/>
      <c r="AT1297" s="31"/>
      <c r="AU1297" s="31"/>
      <c r="AV1297" s="31"/>
      <c r="AW1297" s="31"/>
      <c r="AX1297" s="31"/>
      <c r="AY1297" s="31"/>
      <c r="AZ1297" s="31"/>
      <c r="BA1297" s="31"/>
      <c r="BB1297" s="31"/>
      <c r="BC1297" s="31"/>
      <c r="BD1297" s="31"/>
      <c r="BE1297" s="31"/>
      <c r="BF1297" s="31"/>
      <c r="BG1297" s="31"/>
      <c r="BH1297" s="31"/>
      <c r="BI1297" s="31"/>
    </row>
    <row r="1298" spans="38:61" x14ac:dyDescent="0.2">
      <c r="AL1298" s="31"/>
      <c r="AM1298" s="31"/>
      <c r="AN1298" s="31"/>
      <c r="AO1298" s="31"/>
      <c r="AP1298" s="31"/>
      <c r="AQ1298" s="31"/>
      <c r="AR1298" s="31"/>
      <c r="AS1298" s="31"/>
      <c r="AT1298" s="31"/>
      <c r="AU1298" s="31"/>
      <c r="AV1298" s="31"/>
      <c r="AW1298" s="31"/>
      <c r="AX1298" s="31"/>
      <c r="AY1298" s="31"/>
      <c r="AZ1298" s="31"/>
      <c r="BA1298" s="31"/>
      <c r="BB1298" s="31"/>
      <c r="BC1298" s="31"/>
      <c r="BD1298" s="31"/>
      <c r="BE1298" s="31"/>
      <c r="BF1298" s="31"/>
      <c r="BG1298" s="31"/>
      <c r="BH1298" s="31"/>
      <c r="BI1298" s="31"/>
    </row>
    <row r="1299" spans="38:61" x14ac:dyDescent="0.2">
      <c r="AL1299" s="31"/>
      <c r="AM1299" s="31"/>
      <c r="AN1299" s="31"/>
      <c r="AO1299" s="31"/>
      <c r="AP1299" s="31"/>
      <c r="AQ1299" s="31"/>
      <c r="AR1299" s="31"/>
      <c r="AS1299" s="31"/>
      <c r="AT1299" s="31"/>
      <c r="AU1299" s="31"/>
      <c r="AV1299" s="31"/>
      <c r="AW1299" s="31"/>
      <c r="AX1299" s="31"/>
      <c r="AY1299" s="31"/>
      <c r="AZ1299" s="31"/>
      <c r="BA1299" s="31"/>
      <c r="BB1299" s="31"/>
      <c r="BC1299" s="31"/>
      <c r="BD1299" s="31"/>
      <c r="BE1299" s="31"/>
      <c r="BF1299" s="31"/>
      <c r="BG1299" s="31"/>
      <c r="BH1299" s="31"/>
      <c r="BI1299" s="31"/>
    </row>
    <row r="1300" spans="38:61" x14ac:dyDescent="0.2">
      <c r="AL1300" s="31"/>
      <c r="AM1300" s="31"/>
      <c r="AN1300" s="31"/>
      <c r="AO1300" s="31"/>
      <c r="AP1300" s="31"/>
      <c r="AQ1300" s="31"/>
      <c r="AR1300" s="31"/>
      <c r="AS1300" s="31"/>
      <c r="AT1300" s="31"/>
      <c r="AU1300" s="31"/>
      <c r="AV1300" s="31"/>
      <c r="AW1300" s="31"/>
      <c r="AX1300" s="31"/>
      <c r="AY1300" s="31"/>
      <c r="AZ1300" s="31"/>
      <c r="BA1300" s="31"/>
      <c r="BB1300" s="31"/>
      <c r="BC1300" s="31"/>
      <c r="BD1300" s="31"/>
      <c r="BE1300" s="31"/>
      <c r="BF1300" s="31"/>
      <c r="BG1300" s="31"/>
      <c r="BH1300" s="31"/>
      <c r="BI1300" s="31"/>
    </row>
    <row r="1301" spans="38:61" x14ac:dyDescent="0.2">
      <c r="AL1301" s="31"/>
      <c r="AM1301" s="31"/>
      <c r="AN1301" s="31"/>
      <c r="AO1301" s="31"/>
      <c r="AP1301" s="31"/>
      <c r="AQ1301" s="31"/>
      <c r="AR1301" s="31"/>
      <c r="AS1301" s="31"/>
      <c r="AT1301" s="31"/>
      <c r="AU1301" s="31"/>
      <c r="AV1301" s="31"/>
      <c r="AW1301" s="31"/>
      <c r="AX1301" s="31"/>
      <c r="AY1301" s="31"/>
      <c r="AZ1301" s="31"/>
      <c r="BA1301" s="31"/>
      <c r="BB1301" s="31"/>
      <c r="BC1301" s="31"/>
      <c r="BD1301" s="31"/>
      <c r="BE1301" s="31"/>
      <c r="BF1301" s="31"/>
      <c r="BG1301" s="31"/>
      <c r="BH1301" s="31"/>
      <c r="BI1301" s="31"/>
    </row>
    <row r="1302" spans="38:61" x14ac:dyDescent="0.2">
      <c r="AL1302" s="31"/>
      <c r="AM1302" s="31"/>
      <c r="AN1302" s="31"/>
      <c r="AO1302" s="31"/>
      <c r="AP1302" s="31"/>
      <c r="AQ1302" s="31"/>
      <c r="AR1302" s="31"/>
      <c r="AS1302" s="31"/>
      <c r="AT1302" s="31"/>
      <c r="AU1302" s="31"/>
      <c r="AV1302" s="31"/>
      <c r="AW1302" s="31"/>
      <c r="AX1302" s="31"/>
      <c r="AY1302" s="31"/>
      <c r="AZ1302" s="31"/>
      <c r="BA1302" s="31"/>
      <c r="BB1302" s="31"/>
      <c r="BC1302" s="31"/>
      <c r="BD1302" s="31"/>
      <c r="BE1302" s="31"/>
      <c r="BF1302" s="31"/>
      <c r="BG1302" s="31"/>
      <c r="BH1302" s="31"/>
      <c r="BI1302" s="31"/>
    </row>
    <row r="1303" spans="38:61" x14ac:dyDescent="0.2">
      <c r="AL1303" s="31"/>
      <c r="AM1303" s="31"/>
      <c r="AN1303" s="31"/>
      <c r="AO1303" s="31"/>
      <c r="AP1303" s="31"/>
      <c r="AQ1303" s="31"/>
      <c r="AR1303" s="31"/>
      <c r="AS1303" s="31"/>
      <c r="AT1303" s="31"/>
      <c r="AU1303" s="31"/>
      <c r="AV1303" s="31"/>
      <c r="AW1303" s="31"/>
      <c r="AX1303" s="31"/>
      <c r="AY1303" s="31"/>
      <c r="AZ1303" s="31"/>
      <c r="BA1303" s="31"/>
      <c r="BB1303" s="31"/>
      <c r="BC1303" s="31"/>
      <c r="BD1303" s="31"/>
      <c r="BE1303" s="31"/>
      <c r="BF1303" s="31"/>
      <c r="BG1303" s="31"/>
      <c r="BH1303" s="31"/>
      <c r="BI1303" s="31"/>
    </row>
    <row r="1304" spans="38:61" x14ac:dyDescent="0.2">
      <c r="AL1304" s="31"/>
      <c r="AM1304" s="31"/>
      <c r="AN1304" s="31"/>
      <c r="AO1304" s="31"/>
      <c r="AP1304" s="31"/>
      <c r="AQ1304" s="31"/>
      <c r="AR1304" s="31"/>
      <c r="AS1304" s="31"/>
      <c r="AT1304" s="31"/>
      <c r="AU1304" s="31"/>
      <c r="AV1304" s="31"/>
      <c r="AW1304" s="31"/>
      <c r="AX1304" s="31"/>
      <c r="AY1304" s="31"/>
      <c r="AZ1304" s="31"/>
      <c r="BA1304" s="31"/>
      <c r="BB1304" s="31"/>
      <c r="BC1304" s="31"/>
      <c r="BD1304" s="31"/>
      <c r="BE1304" s="31"/>
      <c r="BF1304" s="31"/>
      <c r="BG1304" s="31"/>
      <c r="BH1304" s="31"/>
      <c r="BI1304" s="31"/>
    </row>
    <row r="1305" spans="38:61" x14ac:dyDescent="0.2">
      <c r="AL1305" s="31"/>
      <c r="AM1305" s="31"/>
      <c r="AN1305" s="31"/>
      <c r="AO1305" s="31"/>
      <c r="AP1305" s="31"/>
      <c r="AQ1305" s="31"/>
      <c r="AR1305" s="31"/>
      <c r="AS1305" s="31"/>
      <c r="AT1305" s="31"/>
      <c r="AU1305" s="31"/>
      <c r="AV1305" s="31"/>
      <c r="AW1305" s="31"/>
      <c r="AX1305" s="31"/>
      <c r="AY1305" s="31"/>
      <c r="AZ1305" s="31"/>
      <c r="BA1305" s="31"/>
      <c r="BB1305" s="31"/>
      <c r="BC1305" s="31"/>
      <c r="BD1305" s="31"/>
      <c r="BE1305" s="31"/>
      <c r="BF1305" s="31"/>
      <c r="BG1305" s="31"/>
      <c r="BH1305" s="31"/>
      <c r="BI1305" s="31"/>
    </row>
    <row r="1306" spans="38:61" x14ac:dyDescent="0.2">
      <c r="AL1306" s="31"/>
      <c r="AM1306" s="31"/>
      <c r="AN1306" s="31"/>
      <c r="AO1306" s="31"/>
      <c r="AP1306" s="31"/>
      <c r="AQ1306" s="31"/>
      <c r="AR1306" s="31"/>
      <c r="AS1306" s="31"/>
      <c r="AT1306" s="31"/>
      <c r="AU1306" s="31"/>
      <c r="AV1306" s="31"/>
      <c r="AW1306" s="31"/>
      <c r="AX1306" s="31"/>
      <c r="AY1306" s="31"/>
      <c r="AZ1306" s="31"/>
      <c r="BA1306" s="31"/>
      <c r="BB1306" s="31"/>
      <c r="BC1306" s="31"/>
      <c r="BD1306" s="31"/>
      <c r="BE1306" s="31"/>
      <c r="BF1306" s="31"/>
      <c r="BG1306" s="31"/>
      <c r="BH1306" s="31"/>
      <c r="BI1306" s="31"/>
    </row>
    <row r="1307" spans="38:61" x14ac:dyDescent="0.2">
      <c r="AL1307" s="31"/>
      <c r="AM1307" s="31"/>
      <c r="AN1307" s="31"/>
      <c r="AO1307" s="31"/>
      <c r="AP1307" s="31"/>
      <c r="AQ1307" s="31"/>
      <c r="AR1307" s="31"/>
      <c r="AS1307" s="31"/>
      <c r="AT1307" s="31"/>
      <c r="AU1307" s="31"/>
      <c r="AV1307" s="31"/>
      <c r="AW1307" s="31"/>
      <c r="AX1307" s="31"/>
      <c r="AY1307" s="31"/>
      <c r="AZ1307" s="31"/>
      <c r="BA1307" s="31"/>
      <c r="BB1307" s="31"/>
      <c r="BC1307" s="31"/>
      <c r="BD1307" s="31"/>
      <c r="BE1307" s="31"/>
      <c r="BF1307" s="31"/>
      <c r="BG1307" s="31"/>
      <c r="BH1307" s="31"/>
      <c r="BI1307" s="31"/>
    </row>
    <row r="1308" spans="38:61" x14ac:dyDescent="0.2">
      <c r="AL1308" s="31"/>
      <c r="AM1308" s="31"/>
      <c r="AN1308" s="31"/>
      <c r="AO1308" s="31"/>
      <c r="AP1308" s="31"/>
      <c r="AQ1308" s="31"/>
      <c r="AR1308" s="31"/>
      <c r="AS1308" s="31"/>
      <c r="AT1308" s="31"/>
      <c r="AU1308" s="31"/>
      <c r="AV1308" s="31"/>
      <c r="AW1308" s="31"/>
      <c r="AX1308" s="31"/>
      <c r="AY1308" s="31"/>
      <c r="AZ1308" s="31"/>
      <c r="BA1308" s="31"/>
      <c r="BB1308" s="31"/>
      <c r="BC1308" s="31"/>
      <c r="BD1308" s="31"/>
      <c r="BE1308" s="31"/>
      <c r="BF1308" s="31"/>
      <c r="BG1308" s="31"/>
      <c r="BH1308" s="31"/>
      <c r="BI1308" s="31"/>
    </row>
    <row r="1309" spans="38:61" x14ac:dyDescent="0.2">
      <c r="AL1309" s="31"/>
      <c r="AM1309" s="31"/>
      <c r="AN1309" s="31"/>
      <c r="AO1309" s="31"/>
      <c r="AP1309" s="31"/>
      <c r="AQ1309" s="31"/>
      <c r="AR1309" s="31"/>
      <c r="AS1309" s="31"/>
      <c r="AT1309" s="31"/>
      <c r="AU1309" s="31"/>
      <c r="AV1309" s="31"/>
      <c r="AW1309" s="31"/>
      <c r="AX1309" s="31"/>
      <c r="AY1309" s="31"/>
      <c r="AZ1309" s="31"/>
      <c r="BA1309" s="31"/>
      <c r="BB1309" s="31"/>
      <c r="BC1309" s="31"/>
      <c r="BD1309" s="31"/>
      <c r="BE1309" s="31"/>
      <c r="BF1309" s="31"/>
      <c r="BG1309" s="31"/>
      <c r="BH1309" s="31"/>
      <c r="BI1309" s="31"/>
    </row>
    <row r="1310" spans="38:61" x14ac:dyDescent="0.2">
      <c r="AL1310" s="31"/>
      <c r="AM1310" s="31"/>
      <c r="AN1310" s="31"/>
      <c r="AO1310" s="31"/>
      <c r="AP1310" s="31"/>
      <c r="AQ1310" s="31"/>
      <c r="AR1310" s="31"/>
      <c r="AS1310" s="31"/>
      <c r="AT1310" s="31"/>
      <c r="AU1310" s="31"/>
      <c r="AV1310" s="31"/>
      <c r="AW1310" s="31"/>
      <c r="AX1310" s="31"/>
      <c r="AY1310" s="31"/>
      <c r="AZ1310" s="31"/>
      <c r="BA1310" s="31"/>
      <c r="BB1310" s="31"/>
      <c r="BC1310" s="31"/>
      <c r="BD1310" s="31"/>
      <c r="BE1310" s="31"/>
      <c r="BF1310" s="31"/>
      <c r="BG1310" s="31"/>
      <c r="BH1310" s="31"/>
      <c r="BI1310" s="31"/>
    </row>
    <row r="1311" spans="38:61" x14ac:dyDescent="0.2">
      <c r="AL1311" s="31"/>
      <c r="AM1311" s="31"/>
      <c r="AN1311" s="31"/>
      <c r="AO1311" s="31"/>
      <c r="AP1311" s="31"/>
      <c r="AQ1311" s="31"/>
      <c r="AR1311" s="31"/>
      <c r="AS1311" s="31"/>
      <c r="AT1311" s="31"/>
      <c r="AU1311" s="31"/>
      <c r="AV1311" s="31"/>
      <c r="AW1311" s="31"/>
      <c r="AX1311" s="31"/>
      <c r="AY1311" s="31"/>
      <c r="AZ1311" s="31"/>
      <c r="BA1311" s="31"/>
      <c r="BB1311" s="31"/>
      <c r="BC1311" s="31"/>
      <c r="BD1311" s="31"/>
      <c r="BE1311" s="31"/>
      <c r="BF1311" s="31"/>
      <c r="BG1311" s="31"/>
      <c r="BH1311" s="31"/>
      <c r="BI1311" s="31"/>
    </row>
    <row r="1312" spans="38:61" x14ac:dyDescent="0.2">
      <c r="AL1312" s="31"/>
      <c r="AM1312" s="31"/>
      <c r="AN1312" s="31"/>
      <c r="AO1312" s="31"/>
      <c r="AP1312" s="31"/>
      <c r="AQ1312" s="31"/>
      <c r="AR1312" s="31"/>
      <c r="AS1312" s="31"/>
      <c r="AT1312" s="31"/>
      <c r="AU1312" s="31"/>
      <c r="AV1312" s="31"/>
      <c r="AW1312" s="31"/>
      <c r="AX1312" s="31"/>
      <c r="AY1312" s="31"/>
      <c r="AZ1312" s="31"/>
      <c r="BA1312" s="31"/>
      <c r="BB1312" s="31"/>
      <c r="BC1312" s="31"/>
      <c r="BD1312" s="31"/>
      <c r="BE1312" s="31"/>
      <c r="BF1312" s="31"/>
      <c r="BG1312" s="31"/>
      <c r="BH1312" s="31"/>
      <c r="BI1312" s="31"/>
    </row>
    <row r="1313" spans="38:61" x14ac:dyDescent="0.2">
      <c r="AL1313" s="31"/>
      <c r="AM1313" s="31"/>
      <c r="AN1313" s="31"/>
      <c r="AO1313" s="31"/>
      <c r="AP1313" s="31"/>
      <c r="AQ1313" s="31"/>
      <c r="AR1313" s="31"/>
      <c r="AS1313" s="31"/>
      <c r="AT1313" s="31"/>
      <c r="AU1313" s="31"/>
      <c r="AV1313" s="31"/>
      <c r="AW1313" s="31"/>
      <c r="AX1313" s="31"/>
      <c r="AY1313" s="31"/>
      <c r="AZ1313" s="31"/>
      <c r="BA1313" s="31"/>
      <c r="BB1313" s="31"/>
      <c r="BC1313" s="31"/>
      <c r="BD1313" s="31"/>
      <c r="BE1313" s="31"/>
      <c r="BF1313" s="31"/>
      <c r="BG1313" s="31"/>
      <c r="BH1313" s="31"/>
      <c r="BI1313" s="31"/>
    </row>
    <row r="1314" spans="38:61" x14ac:dyDescent="0.2">
      <c r="AL1314" s="31"/>
      <c r="AM1314" s="31"/>
      <c r="AN1314" s="31"/>
      <c r="AO1314" s="31"/>
      <c r="AP1314" s="31"/>
      <c r="AQ1314" s="31"/>
      <c r="AR1314" s="31"/>
      <c r="AS1314" s="31"/>
      <c r="AT1314" s="31"/>
      <c r="AU1314" s="31"/>
      <c r="AV1314" s="31"/>
      <c r="AW1314" s="31"/>
      <c r="AX1314" s="31"/>
      <c r="AY1314" s="31"/>
      <c r="AZ1314" s="31"/>
      <c r="BA1314" s="31"/>
      <c r="BB1314" s="31"/>
      <c r="BC1314" s="31"/>
      <c r="BD1314" s="31"/>
      <c r="BE1314" s="31"/>
      <c r="BF1314" s="31"/>
      <c r="BG1314" s="31"/>
      <c r="BH1314" s="31"/>
      <c r="BI1314" s="31"/>
    </row>
    <row r="1315" spans="38:61" x14ac:dyDescent="0.2">
      <c r="AL1315" s="31"/>
      <c r="AM1315" s="31"/>
      <c r="AN1315" s="31"/>
      <c r="AO1315" s="31"/>
      <c r="AP1315" s="31"/>
      <c r="AQ1315" s="31"/>
      <c r="AR1315" s="31"/>
      <c r="AS1315" s="31"/>
      <c r="AT1315" s="31"/>
      <c r="AU1315" s="31"/>
      <c r="AV1315" s="31"/>
      <c r="AW1315" s="31"/>
      <c r="AX1315" s="31"/>
      <c r="AY1315" s="31"/>
      <c r="AZ1315" s="31"/>
      <c r="BA1315" s="31"/>
      <c r="BB1315" s="31"/>
      <c r="BC1315" s="31"/>
      <c r="BD1315" s="31"/>
      <c r="BE1315" s="31"/>
      <c r="BF1315" s="31"/>
      <c r="BG1315" s="31"/>
      <c r="BH1315" s="31"/>
      <c r="BI1315" s="31"/>
    </row>
    <row r="1316" spans="38:61" x14ac:dyDescent="0.2">
      <c r="AL1316" s="31"/>
      <c r="AM1316" s="31"/>
      <c r="AN1316" s="31"/>
      <c r="AO1316" s="31"/>
      <c r="AP1316" s="31"/>
      <c r="AQ1316" s="31"/>
      <c r="AR1316" s="31"/>
      <c r="AS1316" s="31"/>
      <c r="AT1316" s="31"/>
      <c r="AU1316" s="31"/>
      <c r="AV1316" s="31"/>
      <c r="AW1316" s="31"/>
      <c r="AX1316" s="31"/>
      <c r="AY1316" s="31"/>
      <c r="AZ1316" s="31"/>
      <c r="BA1316" s="31"/>
      <c r="BB1316" s="31"/>
      <c r="BC1316" s="31"/>
      <c r="BD1316" s="31"/>
      <c r="BE1316" s="31"/>
      <c r="BF1316" s="31"/>
      <c r="BG1316" s="31"/>
      <c r="BH1316" s="31"/>
      <c r="BI1316" s="31"/>
    </row>
    <row r="1317" spans="38:61" x14ac:dyDescent="0.2">
      <c r="AL1317" s="31"/>
      <c r="AM1317" s="31"/>
      <c r="AN1317" s="31"/>
      <c r="AO1317" s="31"/>
      <c r="AP1317" s="31"/>
      <c r="AQ1317" s="31"/>
      <c r="AR1317" s="31"/>
      <c r="AS1317" s="31"/>
      <c r="AT1317" s="31"/>
      <c r="AU1317" s="31"/>
      <c r="AV1317" s="31"/>
      <c r="AW1317" s="31"/>
      <c r="AX1317" s="31"/>
      <c r="AY1317" s="31"/>
      <c r="AZ1317" s="31"/>
      <c r="BA1317" s="31"/>
      <c r="BB1317" s="31"/>
      <c r="BC1317" s="31"/>
      <c r="BD1317" s="31"/>
      <c r="BE1317" s="31"/>
      <c r="BF1317" s="31"/>
      <c r="BG1317" s="31"/>
      <c r="BH1317" s="31"/>
      <c r="BI1317" s="31"/>
    </row>
    <row r="1318" spans="38:61" x14ac:dyDescent="0.2">
      <c r="AL1318" s="31"/>
      <c r="AM1318" s="31"/>
      <c r="AN1318" s="31"/>
      <c r="AO1318" s="31"/>
      <c r="AP1318" s="31"/>
      <c r="AQ1318" s="31"/>
      <c r="AR1318" s="31"/>
      <c r="AS1318" s="31"/>
      <c r="AT1318" s="31"/>
      <c r="AU1318" s="31"/>
      <c r="AV1318" s="31"/>
      <c r="AW1318" s="31"/>
      <c r="AX1318" s="31"/>
      <c r="AY1318" s="31"/>
      <c r="AZ1318" s="31"/>
      <c r="BA1318" s="31"/>
      <c r="BB1318" s="31"/>
      <c r="BC1318" s="31"/>
      <c r="BD1318" s="31"/>
      <c r="BE1318" s="31"/>
      <c r="BF1318" s="31"/>
      <c r="BG1318" s="31"/>
      <c r="BH1318" s="31"/>
      <c r="BI1318" s="31"/>
    </row>
    <row r="1319" spans="38:61" x14ac:dyDescent="0.2">
      <c r="AL1319" s="31"/>
      <c r="AM1319" s="31"/>
      <c r="AN1319" s="31"/>
      <c r="AO1319" s="31"/>
      <c r="AP1319" s="31"/>
      <c r="AQ1319" s="31"/>
      <c r="AR1319" s="31"/>
      <c r="AS1319" s="31"/>
      <c r="AT1319" s="31"/>
      <c r="AU1319" s="31"/>
      <c r="AV1319" s="31"/>
      <c r="AW1319" s="31"/>
      <c r="AX1319" s="31"/>
      <c r="AY1319" s="31"/>
      <c r="AZ1319" s="31"/>
      <c r="BA1319" s="31"/>
      <c r="BB1319" s="31"/>
      <c r="BC1319" s="31"/>
      <c r="BD1319" s="31"/>
      <c r="BE1319" s="31"/>
      <c r="BF1319" s="31"/>
      <c r="BG1319" s="31"/>
      <c r="BH1319" s="31"/>
      <c r="BI1319" s="31"/>
    </row>
    <row r="1320" spans="38:61" x14ac:dyDescent="0.2">
      <c r="AL1320" s="31"/>
      <c r="AM1320" s="31"/>
      <c r="AN1320" s="31"/>
      <c r="AO1320" s="31"/>
      <c r="AP1320" s="31"/>
      <c r="AQ1320" s="31"/>
      <c r="AR1320" s="31"/>
      <c r="AS1320" s="31"/>
      <c r="AT1320" s="31"/>
      <c r="AU1320" s="31"/>
      <c r="AV1320" s="31"/>
      <c r="AW1320" s="31"/>
      <c r="AX1320" s="31"/>
      <c r="AY1320" s="31"/>
      <c r="AZ1320" s="31"/>
      <c r="BA1320" s="31"/>
      <c r="BB1320" s="31"/>
      <c r="BC1320" s="31"/>
      <c r="BD1320" s="31"/>
      <c r="BE1320" s="31"/>
      <c r="BF1320" s="31"/>
      <c r="BG1320" s="31"/>
      <c r="BH1320" s="31"/>
      <c r="BI1320" s="31"/>
    </row>
    <row r="1321" spans="38:61" x14ac:dyDescent="0.2">
      <c r="AL1321" s="31"/>
      <c r="AM1321" s="31"/>
      <c r="AN1321" s="31"/>
      <c r="AO1321" s="31"/>
      <c r="AP1321" s="31"/>
      <c r="AQ1321" s="31"/>
      <c r="AR1321" s="31"/>
      <c r="AS1321" s="31"/>
      <c r="AT1321" s="31"/>
      <c r="AU1321" s="31"/>
      <c r="AV1321" s="31"/>
      <c r="AW1321" s="31"/>
      <c r="AX1321" s="31"/>
      <c r="AY1321" s="31"/>
      <c r="AZ1321" s="31"/>
      <c r="BA1321" s="31"/>
      <c r="BB1321" s="31"/>
      <c r="BC1321" s="31"/>
      <c r="BD1321" s="31"/>
      <c r="BE1321" s="31"/>
      <c r="BF1321" s="31"/>
      <c r="BG1321" s="31"/>
      <c r="BH1321" s="31"/>
      <c r="BI1321" s="31"/>
    </row>
    <row r="1322" spans="38:61" x14ac:dyDescent="0.2">
      <c r="AL1322" s="31"/>
      <c r="AM1322" s="31"/>
      <c r="AN1322" s="31"/>
      <c r="AO1322" s="31"/>
      <c r="AP1322" s="31"/>
      <c r="AQ1322" s="31"/>
      <c r="AR1322" s="31"/>
      <c r="AS1322" s="31"/>
      <c r="AT1322" s="31"/>
      <c r="AU1322" s="31"/>
      <c r="AV1322" s="31"/>
      <c r="AW1322" s="31"/>
      <c r="AX1322" s="31"/>
      <c r="AY1322" s="31"/>
      <c r="AZ1322" s="31"/>
      <c r="BA1322" s="31"/>
      <c r="BB1322" s="31"/>
      <c r="BC1322" s="31"/>
      <c r="BD1322" s="31"/>
      <c r="BE1322" s="31"/>
      <c r="BF1322" s="31"/>
      <c r="BG1322" s="31"/>
      <c r="BH1322" s="31"/>
      <c r="BI1322" s="31"/>
    </row>
    <row r="1323" spans="38:61" x14ac:dyDescent="0.2">
      <c r="AL1323" s="31"/>
      <c r="AM1323" s="31"/>
      <c r="AN1323" s="31"/>
      <c r="AO1323" s="31"/>
      <c r="AP1323" s="31"/>
      <c r="AQ1323" s="31"/>
      <c r="AR1323" s="31"/>
      <c r="AS1323" s="31"/>
      <c r="AT1323" s="31"/>
      <c r="AU1323" s="31"/>
      <c r="AV1323" s="31"/>
      <c r="AW1323" s="31"/>
      <c r="AX1323" s="31"/>
      <c r="AY1323" s="31"/>
      <c r="AZ1323" s="31"/>
      <c r="BA1323" s="31"/>
      <c r="BB1323" s="31"/>
      <c r="BC1323" s="31"/>
      <c r="BD1323" s="31"/>
      <c r="BE1323" s="31"/>
      <c r="BF1323" s="31"/>
      <c r="BG1323" s="31"/>
      <c r="BH1323" s="31"/>
      <c r="BI1323" s="31"/>
    </row>
    <row r="1324" spans="38:61" x14ac:dyDescent="0.2">
      <c r="AL1324" s="31"/>
      <c r="AM1324" s="31"/>
      <c r="AN1324" s="31"/>
      <c r="AO1324" s="31"/>
      <c r="AP1324" s="31"/>
      <c r="AQ1324" s="31"/>
      <c r="AR1324" s="31"/>
      <c r="AS1324" s="31"/>
      <c r="AT1324" s="31"/>
      <c r="AU1324" s="31"/>
      <c r="AV1324" s="31"/>
      <c r="AW1324" s="31"/>
      <c r="AX1324" s="31"/>
      <c r="AY1324" s="31"/>
      <c r="AZ1324" s="31"/>
      <c r="BA1324" s="31"/>
      <c r="BB1324" s="31"/>
      <c r="BC1324" s="31"/>
      <c r="BD1324" s="31"/>
      <c r="BE1324" s="31"/>
      <c r="BF1324" s="31"/>
      <c r="BG1324" s="31"/>
      <c r="BH1324" s="31"/>
      <c r="BI1324" s="31"/>
    </row>
    <row r="1325" spans="38:61" x14ac:dyDescent="0.2">
      <c r="AL1325" s="31"/>
      <c r="AM1325" s="31"/>
      <c r="AN1325" s="31"/>
      <c r="AO1325" s="31"/>
      <c r="AP1325" s="31"/>
      <c r="AQ1325" s="31"/>
      <c r="AR1325" s="31"/>
      <c r="AS1325" s="31"/>
      <c r="AT1325" s="31"/>
      <c r="AU1325" s="31"/>
      <c r="AV1325" s="31"/>
      <c r="AW1325" s="31"/>
      <c r="AX1325" s="31"/>
      <c r="AY1325" s="31"/>
      <c r="AZ1325" s="31"/>
      <c r="BA1325" s="31"/>
      <c r="BB1325" s="31"/>
      <c r="BC1325" s="31"/>
      <c r="BD1325" s="31"/>
      <c r="BE1325" s="31"/>
      <c r="BF1325" s="31"/>
      <c r="BG1325" s="31"/>
      <c r="BH1325" s="31"/>
      <c r="BI1325" s="31"/>
    </row>
    <row r="1326" spans="38:61" x14ac:dyDescent="0.2">
      <c r="AL1326" s="31"/>
      <c r="AM1326" s="31"/>
      <c r="AN1326" s="31"/>
      <c r="AO1326" s="31"/>
      <c r="AP1326" s="31"/>
      <c r="AQ1326" s="31"/>
      <c r="AR1326" s="31"/>
      <c r="AS1326" s="31"/>
      <c r="AT1326" s="31"/>
      <c r="AU1326" s="31"/>
      <c r="AV1326" s="31"/>
      <c r="AW1326" s="31"/>
      <c r="AX1326" s="31"/>
      <c r="AY1326" s="31"/>
      <c r="AZ1326" s="31"/>
      <c r="BA1326" s="31"/>
      <c r="BB1326" s="31"/>
      <c r="BC1326" s="31"/>
      <c r="BD1326" s="31"/>
      <c r="BE1326" s="31"/>
      <c r="BF1326" s="31"/>
      <c r="BG1326" s="31"/>
      <c r="BH1326" s="31"/>
      <c r="BI1326" s="31"/>
    </row>
    <row r="1327" spans="38:61" x14ac:dyDescent="0.2">
      <c r="AL1327" s="31"/>
      <c r="AM1327" s="31"/>
      <c r="AN1327" s="31"/>
      <c r="AO1327" s="31"/>
      <c r="AP1327" s="31"/>
      <c r="AQ1327" s="31"/>
      <c r="AR1327" s="31"/>
      <c r="AS1327" s="31"/>
      <c r="AT1327" s="31"/>
      <c r="AU1327" s="31"/>
      <c r="AV1327" s="31"/>
      <c r="AW1327" s="31"/>
      <c r="AX1327" s="31"/>
      <c r="AY1327" s="31"/>
      <c r="AZ1327" s="31"/>
      <c r="BA1327" s="31"/>
      <c r="BB1327" s="31"/>
      <c r="BC1327" s="31"/>
      <c r="BD1327" s="31"/>
      <c r="BE1327" s="31"/>
      <c r="BF1327" s="31"/>
      <c r="BG1327" s="31"/>
      <c r="BH1327" s="31"/>
      <c r="BI1327" s="31"/>
    </row>
    <row r="1328" spans="38:61" x14ac:dyDescent="0.2">
      <c r="AL1328" s="31"/>
      <c r="AM1328" s="31"/>
      <c r="AN1328" s="31"/>
      <c r="AO1328" s="31"/>
      <c r="AP1328" s="31"/>
      <c r="AQ1328" s="31"/>
      <c r="AR1328" s="31"/>
      <c r="AS1328" s="31"/>
      <c r="AT1328" s="31"/>
      <c r="AU1328" s="31"/>
      <c r="AV1328" s="31"/>
      <c r="AW1328" s="31"/>
      <c r="AX1328" s="31"/>
      <c r="AY1328" s="31"/>
      <c r="AZ1328" s="31"/>
      <c r="BA1328" s="31"/>
      <c r="BB1328" s="31"/>
      <c r="BC1328" s="31"/>
      <c r="BD1328" s="31"/>
      <c r="BE1328" s="31"/>
      <c r="BF1328" s="31"/>
      <c r="BG1328" s="31"/>
      <c r="BH1328" s="31"/>
      <c r="BI1328" s="31"/>
    </row>
    <row r="1329" spans="38:61" x14ac:dyDescent="0.2">
      <c r="AL1329" s="31"/>
      <c r="AM1329" s="31"/>
      <c r="AN1329" s="31"/>
      <c r="AO1329" s="31"/>
      <c r="AP1329" s="31"/>
      <c r="AQ1329" s="31"/>
      <c r="AR1329" s="31"/>
      <c r="AS1329" s="31"/>
      <c r="AT1329" s="31"/>
      <c r="AU1329" s="31"/>
      <c r="AV1329" s="31"/>
      <c r="AW1329" s="31"/>
      <c r="AX1329" s="31"/>
      <c r="AY1329" s="31"/>
      <c r="AZ1329" s="31"/>
      <c r="BA1329" s="31"/>
      <c r="BB1329" s="31"/>
      <c r="BC1329" s="31"/>
      <c r="BD1329" s="31"/>
      <c r="BE1329" s="31"/>
      <c r="BF1329" s="31"/>
      <c r="BG1329" s="31"/>
      <c r="BH1329" s="31"/>
      <c r="BI1329" s="31"/>
    </row>
    <row r="1330" spans="38:61" x14ac:dyDescent="0.2">
      <c r="AL1330" s="31"/>
      <c r="AM1330" s="31"/>
      <c r="AN1330" s="31"/>
      <c r="AO1330" s="31"/>
      <c r="AP1330" s="31"/>
      <c r="AQ1330" s="31"/>
      <c r="AR1330" s="31"/>
      <c r="AS1330" s="31"/>
      <c r="AT1330" s="31"/>
      <c r="AU1330" s="31"/>
      <c r="AV1330" s="31"/>
      <c r="AW1330" s="31"/>
      <c r="AX1330" s="31"/>
      <c r="AY1330" s="31"/>
      <c r="AZ1330" s="31"/>
      <c r="BA1330" s="31"/>
      <c r="BB1330" s="31"/>
      <c r="BC1330" s="31"/>
      <c r="BD1330" s="31"/>
      <c r="BE1330" s="31"/>
      <c r="BF1330" s="31"/>
      <c r="BG1330" s="31"/>
      <c r="BH1330" s="31"/>
      <c r="BI1330" s="31"/>
    </row>
    <row r="1331" spans="38:61" x14ac:dyDescent="0.2">
      <c r="AL1331" s="31"/>
      <c r="AM1331" s="31"/>
      <c r="AN1331" s="31"/>
      <c r="AO1331" s="31"/>
      <c r="AP1331" s="31"/>
      <c r="AQ1331" s="31"/>
      <c r="AR1331" s="31"/>
      <c r="AS1331" s="31"/>
      <c r="AT1331" s="31"/>
      <c r="AU1331" s="31"/>
      <c r="AV1331" s="31"/>
      <c r="AW1331" s="31"/>
      <c r="AX1331" s="31"/>
      <c r="AY1331" s="31"/>
      <c r="AZ1331" s="31"/>
      <c r="BA1331" s="31"/>
      <c r="BB1331" s="31"/>
      <c r="BC1331" s="31"/>
      <c r="BD1331" s="31"/>
      <c r="BE1331" s="31"/>
      <c r="BF1331" s="31"/>
      <c r="BG1331" s="31"/>
      <c r="BH1331" s="31"/>
      <c r="BI1331" s="31"/>
    </row>
    <row r="1332" spans="38:61" x14ac:dyDescent="0.2">
      <c r="AL1332" s="31"/>
      <c r="AM1332" s="31"/>
      <c r="AN1332" s="31"/>
      <c r="AO1332" s="31"/>
      <c r="AP1332" s="31"/>
      <c r="AQ1332" s="31"/>
      <c r="AR1332" s="31"/>
      <c r="AS1332" s="31"/>
      <c r="AT1332" s="31"/>
      <c r="AU1332" s="31"/>
      <c r="AV1332" s="31"/>
      <c r="AW1332" s="31"/>
      <c r="AX1332" s="31"/>
      <c r="AY1332" s="31"/>
      <c r="AZ1332" s="31"/>
      <c r="BA1332" s="31"/>
      <c r="BB1332" s="31"/>
      <c r="BC1332" s="31"/>
      <c r="BD1332" s="31"/>
      <c r="BE1332" s="31"/>
      <c r="BF1332" s="31"/>
      <c r="BG1332" s="31"/>
      <c r="BH1332" s="31"/>
      <c r="BI1332" s="31"/>
    </row>
    <row r="1333" spans="38:61" x14ac:dyDescent="0.2">
      <c r="AL1333" s="31"/>
      <c r="AM1333" s="31"/>
      <c r="AN1333" s="31"/>
      <c r="AO1333" s="31"/>
      <c r="AP1333" s="31"/>
      <c r="AQ1333" s="31"/>
      <c r="AR1333" s="31"/>
      <c r="AS1333" s="31"/>
      <c r="AT1333" s="31"/>
      <c r="AU1333" s="31"/>
      <c r="AV1333" s="31"/>
      <c r="AW1333" s="31"/>
      <c r="AX1333" s="31"/>
      <c r="AY1333" s="31"/>
      <c r="AZ1333" s="31"/>
      <c r="BA1333" s="31"/>
      <c r="BB1333" s="31"/>
      <c r="BC1333" s="31"/>
      <c r="BD1333" s="31"/>
      <c r="BE1333" s="31"/>
      <c r="BF1333" s="31"/>
      <c r="BG1333" s="31"/>
      <c r="BH1333" s="31"/>
      <c r="BI1333" s="31"/>
    </row>
    <row r="1334" spans="38:61" x14ac:dyDescent="0.2">
      <c r="AL1334" s="31"/>
      <c r="AM1334" s="31"/>
      <c r="AN1334" s="31"/>
      <c r="AO1334" s="31"/>
      <c r="AP1334" s="31"/>
      <c r="AQ1334" s="31"/>
      <c r="AR1334" s="31"/>
      <c r="AS1334" s="31"/>
      <c r="AT1334" s="31"/>
      <c r="AU1334" s="31"/>
      <c r="AV1334" s="31"/>
      <c r="AW1334" s="31"/>
      <c r="AX1334" s="31"/>
      <c r="AY1334" s="31"/>
      <c r="AZ1334" s="31"/>
      <c r="BA1334" s="31"/>
      <c r="BB1334" s="31"/>
      <c r="BC1334" s="31"/>
      <c r="BD1334" s="31"/>
      <c r="BE1334" s="31"/>
      <c r="BF1334" s="31"/>
      <c r="BG1334" s="31"/>
      <c r="BH1334" s="31"/>
      <c r="BI1334" s="31"/>
    </row>
    <row r="1335" spans="38:61" x14ac:dyDescent="0.2">
      <c r="AL1335" s="31"/>
      <c r="AM1335" s="31"/>
      <c r="AN1335" s="31"/>
      <c r="AO1335" s="31"/>
      <c r="AP1335" s="31"/>
      <c r="AQ1335" s="31"/>
      <c r="AR1335" s="31"/>
      <c r="AS1335" s="31"/>
      <c r="AT1335" s="31"/>
      <c r="AU1335" s="31"/>
      <c r="AV1335" s="31"/>
      <c r="AW1335" s="31"/>
      <c r="AX1335" s="31"/>
      <c r="AY1335" s="31"/>
      <c r="AZ1335" s="31"/>
      <c r="BA1335" s="31"/>
      <c r="BB1335" s="31"/>
      <c r="BC1335" s="31"/>
      <c r="BD1335" s="31"/>
      <c r="BE1335" s="31"/>
      <c r="BF1335" s="31"/>
      <c r="BG1335" s="31"/>
      <c r="BH1335" s="31"/>
      <c r="BI1335" s="31"/>
    </row>
    <row r="1336" spans="38:61" x14ac:dyDescent="0.2">
      <c r="AL1336" s="31"/>
      <c r="AM1336" s="31"/>
      <c r="AN1336" s="31"/>
      <c r="AO1336" s="31"/>
      <c r="AP1336" s="31"/>
      <c r="AQ1336" s="31"/>
      <c r="AR1336" s="31"/>
      <c r="AS1336" s="31"/>
      <c r="AT1336" s="31"/>
      <c r="AU1336" s="31"/>
      <c r="AV1336" s="31"/>
      <c r="AW1336" s="31"/>
      <c r="AX1336" s="31"/>
      <c r="AY1336" s="31"/>
      <c r="AZ1336" s="31"/>
      <c r="BA1336" s="31"/>
      <c r="BB1336" s="31"/>
      <c r="BC1336" s="31"/>
      <c r="BD1336" s="31"/>
      <c r="BE1336" s="31"/>
      <c r="BF1336" s="31"/>
      <c r="BG1336" s="31"/>
      <c r="BH1336" s="31"/>
      <c r="BI1336" s="31"/>
    </row>
    <row r="1337" spans="38:61" x14ac:dyDescent="0.2">
      <c r="AL1337" s="31"/>
      <c r="AM1337" s="31"/>
      <c r="AN1337" s="31"/>
      <c r="AO1337" s="31"/>
      <c r="AP1337" s="31"/>
      <c r="AQ1337" s="31"/>
      <c r="AR1337" s="31"/>
      <c r="AS1337" s="31"/>
      <c r="AT1337" s="31"/>
      <c r="AU1337" s="31"/>
      <c r="AV1337" s="31"/>
      <c r="AW1337" s="31"/>
      <c r="AX1337" s="31"/>
      <c r="AY1337" s="31"/>
      <c r="AZ1337" s="31"/>
      <c r="BA1337" s="31"/>
      <c r="BB1337" s="31"/>
      <c r="BC1337" s="31"/>
      <c r="BD1337" s="31"/>
      <c r="BE1337" s="31"/>
      <c r="BF1337" s="31"/>
      <c r="BG1337" s="31"/>
      <c r="BH1337" s="31"/>
      <c r="BI1337" s="31"/>
    </row>
    <row r="1338" spans="38:61" x14ac:dyDescent="0.2">
      <c r="AL1338" s="31"/>
      <c r="AM1338" s="31"/>
      <c r="AN1338" s="31"/>
      <c r="AO1338" s="31"/>
      <c r="AP1338" s="31"/>
      <c r="AQ1338" s="31"/>
      <c r="AR1338" s="31"/>
      <c r="AS1338" s="31"/>
      <c r="AT1338" s="31"/>
      <c r="AU1338" s="31"/>
      <c r="AV1338" s="31"/>
      <c r="AW1338" s="31"/>
      <c r="AX1338" s="31"/>
      <c r="AY1338" s="31"/>
      <c r="AZ1338" s="31"/>
      <c r="BA1338" s="31"/>
      <c r="BB1338" s="31"/>
      <c r="BC1338" s="31"/>
      <c r="BD1338" s="31"/>
      <c r="BE1338" s="31"/>
      <c r="BF1338" s="31"/>
      <c r="BG1338" s="31"/>
      <c r="BH1338" s="31"/>
      <c r="BI1338" s="31"/>
    </row>
    <row r="1339" spans="38:61" x14ac:dyDescent="0.2">
      <c r="AL1339" s="31"/>
      <c r="AM1339" s="31"/>
      <c r="AN1339" s="31"/>
      <c r="AO1339" s="31"/>
      <c r="AP1339" s="31"/>
      <c r="AQ1339" s="31"/>
      <c r="AR1339" s="31"/>
      <c r="AS1339" s="31"/>
      <c r="AT1339" s="31"/>
      <c r="AU1339" s="31"/>
      <c r="AV1339" s="31"/>
      <c r="AW1339" s="31"/>
      <c r="AX1339" s="31"/>
      <c r="AY1339" s="31"/>
      <c r="AZ1339" s="31"/>
      <c r="BA1339" s="31"/>
      <c r="BB1339" s="31"/>
      <c r="BC1339" s="31"/>
      <c r="BD1339" s="31"/>
      <c r="BE1339" s="31"/>
      <c r="BF1339" s="31"/>
      <c r="BG1339" s="31"/>
      <c r="BH1339" s="31"/>
      <c r="BI1339" s="31"/>
    </row>
    <row r="1340" spans="38:61" x14ac:dyDescent="0.2">
      <c r="AL1340" s="31"/>
      <c r="AM1340" s="31"/>
      <c r="AN1340" s="31"/>
      <c r="AO1340" s="31"/>
      <c r="AP1340" s="31"/>
      <c r="AQ1340" s="31"/>
      <c r="AR1340" s="31"/>
      <c r="AS1340" s="31"/>
      <c r="AT1340" s="31"/>
      <c r="AU1340" s="31"/>
      <c r="AV1340" s="31"/>
      <c r="AW1340" s="31"/>
      <c r="AX1340" s="31"/>
      <c r="AY1340" s="31"/>
      <c r="AZ1340" s="31"/>
      <c r="BA1340" s="31"/>
      <c r="BB1340" s="31"/>
      <c r="BC1340" s="31"/>
      <c r="BD1340" s="31"/>
      <c r="BE1340" s="31"/>
      <c r="BF1340" s="31"/>
      <c r="BG1340" s="31"/>
      <c r="BH1340" s="31"/>
      <c r="BI1340" s="31"/>
    </row>
    <row r="1341" spans="38:61" x14ac:dyDescent="0.2">
      <c r="AL1341" s="31"/>
      <c r="AM1341" s="31"/>
      <c r="AN1341" s="31"/>
      <c r="AO1341" s="31"/>
      <c r="AP1341" s="31"/>
      <c r="AQ1341" s="31"/>
      <c r="AR1341" s="31"/>
      <c r="AS1341" s="31"/>
      <c r="AT1341" s="31"/>
      <c r="AU1341" s="31"/>
      <c r="AV1341" s="31"/>
      <c r="AW1341" s="31"/>
      <c r="AX1341" s="31"/>
      <c r="AY1341" s="31"/>
      <c r="AZ1341" s="31"/>
      <c r="BA1341" s="31"/>
      <c r="BB1341" s="31"/>
      <c r="BC1341" s="31"/>
      <c r="BD1341" s="31"/>
      <c r="BE1341" s="31"/>
      <c r="BF1341" s="31"/>
      <c r="BG1341" s="31"/>
      <c r="BH1341" s="31"/>
      <c r="BI1341" s="31"/>
    </row>
    <row r="1342" spans="38:61" x14ac:dyDescent="0.2">
      <c r="AL1342" s="31"/>
      <c r="AM1342" s="31"/>
      <c r="AN1342" s="31"/>
      <c r="AO1342" s="31"/>
      <c r="AP1342" s="31"/>
      <c r="AQ1342" s="31"/>
      <c r="AR1342" s="31"/>
      <c r="AS1342" s="31"/>
      <c r="AT1342" s="31"/>
      <c r="AU1342" s="31"/>
      <c r="AV1342" s="31"/>
      <c r="AW1342" s="31"/>
      <c r="AX1342" s="31"/>
      <c r="AY1342" s="31"/>
      <c r="AZ1342" s="31"/>
      <c r="BA1342" s="31"/>
      <c r="BB1342" s="31"/>
      <c r="BC1342" s="31"/>
      <c r="BD1342" s="31"/>
      <c r="BE1342" s="31"/>
      <c r="BF1342" s="31"/>
      <c r="BG1342" s="31"/>
      <c r="BH1342" s="31"/>
      <c r="BI1342" s="31"/>
    </row>
    <row r="1343" spans="38:61" x14ac:dyDescent="0.2">
      <c r="AL1343" s="31"/>
      <c r="AM1343" s="31"/>
      <c r="AN1343" s="31"/>
      <c r="AO1343" s="31"/>
      <c r="AP1343" s="31"/>
      <c r="AQ1343" s="31"/>
      <c r="AR1343" s="31"/>
      <c r="AS1343" s="31"/>
      <c r="AT1343" s="31"/>
      <c r="AU1343" s="31"/>
      <c r="AV1343" s="31"/>
      <c r="AW1343" s="31"/>
      <c r="AX1343" s="31"/>
      <c r="AY1343" s="31"/>
      <c r="AZ1343" s="31"/>
      <c r="BA1343" s="31"/>
      <c r="BB1343" s="31"/>
      <c r="BC1343" s="31"/>
      <c r="BD1343" s="31"/>
      <c r="BE1343" s="31"/>
      <c r="BF1343" s="31"/>
      <c r="BG1343" s="31"/>
      <c r="BH1343" s="31"/>
      <c r="BI1343" s="31"/>
    </row>
    <row r="1344" spans="38:61" x14ac:dyDescent="0.2">
      <c r="AL1344" s="31"/>
      <c r="AM1344" s="31"/>
      <c r="AN1344" s="31"/>
      <c r="AO1344" s="31"/>
      <c r="AP1344" s="31"/>
      <c r="AQ1344" s="31"/>
      <c r="AR1344" s="31"/>
      <c r="AS1344" s="31"/>
      <c r="AT1344" s="31"/>
      <c r="AU1344" s="31"/>
      <c r="AV1344" s="31"/>
      <c r="AW1344" s="31"/>
      <c r="AX1344" s="31"/>
      <c r="AY1344" s="31"/>
      <c r="AZ1344" s="31"/>
      <c r="BA1344" s="31"/>
      <c r="BB1344" s="31"/>
      <c r="BC1344" s="31"/>
      <c r="BD1344" s="31"/>
      <c r="BE1344" s="31"/>
      <c r="BF1344" s="31"/>
      <c r="BG1344" s="31"/>
      <c r="BH1344" s="31"/>
      <c r="BI1344" s="31"/>
    </row>
    <row r="1345" spans="38:61" x14ac:dyDescent="0.2">
      <c r="AL1345" s="31"/>
      <c r="AM1345" s="31"/>
      <c r="AN1345" s="31"/>
      <c r="AO1345" s="31"/>
      <c r="AP1345" s="31"/>
      <c r="AQ1345" s="31"/>
      <c r="AR1345" s="31"/>
      <c r="AS1345" s="31"/>
      <c r="AT1345" s="31"/>
      <c r="AU1345" s="31"/>
      <c r="AV1345" s="31"/>
      <c r="AW1345" s="31"/>
      <c r="AX1345" s="31"/>
      <c r="AY1345" s="31"/>
      <c r="AZ1345" s="31"/>
      <c r="BA1345" s="31"/>
      <c r="BB1345" s="31"/>
      <c r="BC1345" s="31"/>
      <c r="BD1345" s="31"/>
      <c r="BE1345" s="31"/>
      <c r="BF1345" s="31"/>
      <c r="BG1345" s="31"/>
      <c r="BH1345" s="31"/>
      <c r="BI1345" s="31"/>
    </row>
    <row r="1346" spans="38:61" x14ac:dyDescent="0.2">
      <c r="AL1346" s="31"/>
      <c r="AM1346" s="31"/>
      <c r="AN1346" s="31"/>
      <c r="AO1346" s="31"/>
      <c r="AP1346" s="31"/>
      <c r="AQ1346" s="31"/>
      <c r="AR1346" s="31"/>
      <c r="AS1346" s="31"/>
      <c r="AT1346" s="31"/>
      <c r="AU1346" s="31"/>
      <c r="AV1346" s="31"/>
      <c r="AW1346" s="31"/>
      <c r="AX1346" s="31"/>
      <c r="AY1346" s="31"/>
      <c r="AZ1346" s="31"/>
      <c r="BA1346" s="31"/>
      <c r="BB1346" s="31"/>
      <c r="BC1346" s="31"/>
      <c r="BD1346" s="31"/>
      <c r="BE1346" s="31"/>
      <c r="BF1346" s="31"/>
      <c r="BG1346" s="31"/>
      <c r="BH1346" s="31"/>
      <c r="BI1346" s="31"/>
    </row>
    <row r="1347" spans="38:61" x14ac:dyDescent="0.2">
      <c r="AL1347" s="31"/>
      <c r="AM1347" s="31"/>
      <c r="AN1347" s="31"/>
      <c r="AO1347" s="31"/>
      <c r="AP1347" s="31"/>
      <c r="AQ1347" s="31"/>
      <c r="AR1347" s="31"/>
      <c r="AS1347" s="31"/>
      <c r="AT1347" s="31"/>
      <c r="AU1347" s="31"/>
      <c r="AV1347" s="31"/>
      <c r="AW1347" s="31"/>
      <c r="AX1347" s="31"/>
      <c r="AY1347" s="31"/>
      <c r="AZ1347" s="31"/>
      <c r="BA1347" s="31"/>
      <c r="BB1347" s="31"/>
      <c r="BC1347" s="31"/>
      <c r="BD1347" s="31"/>
      <c r="BE1347" s="31"/>
      <c r="BF1347" s="31"/>
      <c r="BG1347" s="31"/>
      <c r="BH1347" s="31"/>
      <c r="BI1347" s="31"/>
    </row>
    <row r="1348" spans="38:61" x14ac:dyDescent="0.2">
      <c r="AL1348" s="31"/>
      <c r="AM1348" s="31"/>
      <c r="AN1348" s="31"/>
      <c r="AO1348" s="31"/>
      <c r="AP1348" s="31"/>
      <c r="AQ1348" s="31"/>
      <c r="AR1348" s="31"/>
      <c r="AS1348" s="31"/>
      <c r="AT1348" s="31"/>
      <c r="AU1348" s="31"/>
      <c r="AV1348" s="31"/>
      <c r="AW1348" s="31"/>
      <c r="AX1348" s="31"/>
      <c r="AY1348" s="31"/>
      <c r="AZ1348" s="31"/>
      <c r="BA1348" s="31"/>
      <c r="BB1348" s="31"/>
      <c r="BC1348" s="31"/>
      <c r="BD1348" s="31"/>
      <c r="BE1348" s="31"/>
      <c r="BF1348" s="31"/>
      <c r="BG1348" s="31"/>
      <c r="BH1348" s="31"/>
      <c r="BI1348" s="31"/>
    </row>
    <row r="1349" spans="38:61" x14ac:dyDescent="0.2">
      <c r="AL1349" s="31"/>
      <c r="AM1349" s="31"/>
      <c r="AN1349" s="31"/>
      <c r="AO1349" s="31"/>
      <c r="AP1349" s="31"/>
      <c r="AQ1349" s="31"/>
      <c r="AR1349" s="31"/>
      <c r="AS1349" s="31"/>
      <c r="AT1349" s="31"/>
      <c r="AU1349" s="31"/>
      <c r="AV1349" s="31"/>
      <c r="AW1349" s="31"/>
      <c r="AX1349" s="31"/>
      <c r="AY1349" s="31"/>
      <c r="AZ1349" s="31"/>
      <c r="BA1349" s="31"/>
      <c r="BB1349" s="31"/>
      <c r="BC1349" s="31"/>
      <c r="BD1349" s="31"/>
      <c r="BE1349" s="31"/>
      <c r="BF1349" s="31"/>
      <c r="BG1349" s="31"/>
      <c r="BH1349" s="31"/>
      <c r="BI1349" s="31"/>
    </row>
    <row r="1350" spans="38:61" x14ac:dyDescent="0.2">
      <c r="AL1350" s="31"/>
      <c r="AM1350" s="31"/>
      <c r="AN1350" s="31"/>
      <c r="AO1350" s="31"/>
      <c r="AP1350" s="31"/>
      <c r="AQ1350" s="31"/>
      <c r="AR1350" s="31"/>
      <c r="AS1350" s="31"/>
      <c r="AT1350" s="31"/>
      <c r="AU1350" s="31"/>
      <c r="AV1350" s="31"/>
      <c r="AW1350" s="31"/>
      <c r="AX1350" s="31"/>
      <c r="AY1350" s="31"/>
      <c r="AZ1350" s="31"/>
      <c r="BA1350" s="31"/>
      <c r="BB1350" s="31"/>
      <c r="BC1350" s="31"/>
      <c r="BD1350" s="31"/>
      <c r="BE1350" s="31"/>
      <c r="BF1350" s="31"/>
      <c r="BG1350" s="31"/>
      <c r="BH1350" s="31"/>
      <c r="BI1350" s="31"/>
    </row>
    <row r="1351" spans="38:61" x14ac:dyDescent="0.2">
      <c r="AL1351" s="31"/>
      <c r="AM1351" s="31"/>
      <c r="AN1351" s="31"/>
      <c r="AO1351" s="31"/>
      <c r="AP1351" s="31"/>
      <c r="AQ1351" s="31"/>
      <c r="AR1351" s="31"/>
      <c r="AS1351" s="31"/>
      <c r="AT1351" s="31"/>
      <c r="AU1351" s="31"/>
      <c r="AV1351" s="31"/>
      <c r="AW1351" s="31"/>
      <c r="AX1351" s="31"/>
      <c r="AY1351" s="31"/>
      <c r="AZ1351" s="31"/>
      <c r="BA1351" s="31"/>
      <c r="BB1351" s="31"/>
      <c r="BC1351" s="31"/>
      <c r="BD1351" s="31"/>
      <c r="BE1351" s="31"/>
      <c r="BF1351" s="31"/>
      <c r="BG1351" s="31"/>
      <c r="BH1351" s="31"/>
      <c r="BI1351" s="31"/>
    </row>
    <row r="1352" spans="38:61" x14ac:dyDescent="0.2">
      <c r="AL1352" s="31"/>
      <c r="AM1352" s="31"/>
      <c r="AN1352" s="31"/>
      <c r="AO1352" s="31"/>
      <c r="AP1352" s="31"/>
      <c r="AQ1352" s="31"/>
      <c r="AR1352" s="31"/>
      <c r="AS1352" s="31"/>
      <c r="AT1352" s="31"/>
      <c r="AU1352" s="31"/>
      <c r="AV1352" s="31"/>
      <c r="AW1352" s="31"/>
      <c r="AX1352" s="31"/>
      <c r="AY1352" s="31"/>
      <c r="AZ1352" s="31"/>
      <c r="BA1352" s="31"/>
      <c r="BB1352" s="31"/>
      <c r="BC1352" s="31"/>
      <c r="BD1352" s="31"/>
      <c r="BE1352" s="31"/>
      <c r="BF1352" s="31"/>
      <c r="BG1352" s="31"/>
      <c r="BH1352" s="31"/>
      <c r="BI1352" s="31"/>
    </row>
    <row r="1353" spans="38:61" x14ac:dyDescent="0.2">
      <c r="AL1353" s="31"/>
      <c r="AM1353" s="31"/>
      <c r="AN1353" s="31"/>
      <c r="AO1353" s="31"/>
      <c r="AP1353" s="31"/>
      <c r="AQ1353" s="31"/>
      <c r="AR1353" s="31"/>
      <c r="AS1353" s="31"/>
      <c r="AT1353" s="31"/>
      <c r="AU1353" s="31"/>
      <c r="AV1353" s="31"/>
      <c r="AW1353" s="31"/>
      <c r="AX1353" s="31"/>
      <c r="AY1353" s="31"/>
      <c r="AZ1353" s="31"/>
      <c r="BA1353" s="31"/>
      <c r="BB1353" s="31"/>
      <c r="BC1353" s="31"/>
      <c r="BD1353" s="31"/>
      <c r="BE1353" s="31"/>
      <c r="BF1353" s="31"/>
      <c r="BG1353" s="31"/>
      <c r="BH1353" s="31"/>
      <c r="BI1353" s="31"/>
    </row>
    <row r="1354" spans="38:61" x14ac:dyDescent="0.2">
      <c r="AL1354" s="31"/>
      <c r="AM1354" s="31"/>
      <c r="AN1354" s="31"/>
      <c r="AO1354" s="31"/>
      <c r="AP1354" s="31"/>
      <c r="AQ1354" s="31"/>
      <c r="AR1354" s="31"/>
      <c r="AS1354" s="31"/>
      <c r="AT1354" s="31"/>
      <c r="AU1354" s="31"/>
      <c r="AV1354" s="31"/>
      <c r="AW1354" s="31"/>
      <c r="AX1354" s="31"/>
      <c r="AY1354" s="31"/>
      <c r="AZ1354" s="31"/>
      <c r="BA1354" s="31"/>
      <c r="BB1354" s="31"/>
      <c r="BC1354" s="31"/>
      <c r="BD1354" s="31"/>
      <c r="BE1354" s="31"/>
      <c r="BF1354" s="31"/>
      <c r="BG1354" s="31"/>
      <c r="BH1354" s="31"/>
      <c r="BI1354" s="31"/>
    </row>
    <row r="1355" spans="38:61" x14ac:dyDescent="0.2">
      <c r="AL1355" s="31"/>
      <c r="AM1355" s="31"/>
      <c r="AN1355" s="31"/>
      <c r="AO1355" s="31"/>
      <c r="AP1355" s="31"/>
      <c r="AQ1355" s="31"/>
      <c r="AR1355" s="31"/>
      <c r="AS1355" s="31"/>
      <c r="AT1355" s="31"/>
      <c r="AU1355" s="31"/>
      <c r="AV1355" s="31"/>
      <c r="AW1355" s="31"/>
      <c r="AX1355" s="31"/>
      <c r="AY1355" s="31"/>
      <c r="AZ1355" s="31"/>
      <c r="BA1355" s="31"/>
      <c r="BB1355" s="31"/>
      <c r="BC1355" s="31"/>
      <c r="BD1355" s="31"/>
      <c r="BE1355" s="31"/>
      <c r="BF1355" s="31"/>
      <c r="BG1355" s="31"/>
      <c r="BH1355" s="31"/>
      <c r="BI1355" s="31"/>
    </row>
    <row r="1356" spans="38:61" x14ac:dyDescent="0.2">
      <c r="AL1356" s="31"/>
      <c r="AM1356" s="31"/>
      <c r="AN1356" s="31"/>
      <c r="AO1356" s="31"/>
      <c r="AP1356" s="31"/>
      <c r="AQ1356" s="31"/>
      <c r="AR1356" s="31"/>
      <c r="AS1356" s="31"/>
      <c r="AT1356" s="31"/>
      <c r="AU1356" s="31"/>
      <c r="AV1356" s="31"/>
      <c r="AW1356" s="31"/>
      <c r="AX1356" s="31"/>
      <c r="AY1356" s="31"/>
      <c r="AZ1356" s="31"/>
      <c r="BA1356" s="31"/>
      <c r="BB1356" s="31"/>
      <c r="BC1356" s="31"/>
      <c r="BD1356" s="31"/>
      <c r="BE1356" s="31"/>
      <c r="BF1356" s="31"/>
      <c r="BG1356" s="31"/>
      <c r="BH1356" s="31"/>
      <c r="BI1356" s="31"/>
    </row>
    <row r="1357" spans="38:61" x14ac:dyDescent="0.2">
      <c r="AL1357" s="31"/>
      <c r="AM1357" s="31"/>
      <c r="AN1357" s="31"/>
      <c r="AO1357" s="31"/>
      <c r="AP1357" s="31"/>
      <c r="AQ1357" s="31"/>
      <c r="AR1357" s="31"/>
      <c r="AS1357" s="31"/>
      <c r="AT1357" s="31"/>
      <c r="AU1357" s="31"/>
      <c r="AV1357" s="31"/>
      <c r="AW1357" s="31"/>
      <c r="AX1357" s="31"/>
      <c r="AY1357" s="31"/>
      <c r="AZ1357" s="31"/>
      <c r="BA1357" s="31"/>
      <c r="BB1357" s="31"/>
      <c r="BC1357" s="31"/>
      <c r="BD1357" s="31"/>
      <c r="BE1357" s="31"/>
      <c r="BF1357" s="31"/>
      <c r="BG1357" s="31"/>
      <c r="BH1357" s="31"/>
      <c r="BI1357" s="31"/>
    </row>
    <row r="1358" spans="38:61" x14ac:dyDescent="0.2">
      <c r="AL1358" s="31"/>
      <c r="AM1358" s="31"/>
      <c r="AN1358" s="31"/>
      <c r="AO1358" s="31"/>
      <c r="AP1358" s="31"/>
      <c r="AQ1358" s="31"/>
      <c r="AR1358" s="31"/>
      <c r="AS1358" s="31"/>
      <c r="AT1358" s="31"/>
      <c r="AU1358" s="31"/>
      <c r="AV1358" s="31"/>
      <c r="AW1358" s="31"/>
      <c r="AX1358" s="31"/>
      <c r="AY1358" s="31"/>
      <c r="AZ1358" s="31"/>
      <c r="BA1358" s="31"/>
      <c r="BB1358" s="31"/>
      <c r="BC1358" s="31"/>
      <c r="BD1358" s="31"/>
      <c r="BE1358" s="31"/>
      <c r="BF1358" s="31"/>
      <c r="BG1358" s="31"/>
      <c r="BH1358" s="31"/>
      <c r="BI1358" s="31"/>
    </row>
    <row r="1359" spans="38:61" x14ac:dyDescent="0.2">
      <c r="AL1359" s="31"/>
      <c r="AM1359" s="31"/>
      <c r="AN1359" s="31"/>
      <c r="AO1359" s="31"/>
      <c r="AP1359" s="31"/>
      <c r="AQ1359" s="31"/>
      <c r="AR1359" s="31"/>
      <c r="AS1359" s="31"/>
      <c r="AT1359" s="31"/>
      <c r="AU1359" s="31"/>
      <c r="AV1359" s="31"/>
      <c r="AW1359" s="31"/>
      <c r="AX1359" s="31"/>
      <c r="AY1359" s="31"/>
      <c r="AZ1359" s="31"/>
      <c r="BA1359" s="31"/>
      <c r="BB1359" s="31"/>
      <c r="BC1359" s="31"/>
      <c r="BD1359" s="31"/>
      <c r="BE1359" s="31"/>
      <c r="BF1359" s="31"/>
      <c r="BG1359" s="31"/>
      <c r="BH1359" s="31"/>
      <c r="BI1359" s="31"/>
    </row>
    <row r="1360" spans="38:61" x14ac:dyDescent="0.2">
      <c r="AL1360" s="31"/>
      <c r="AM1360" s="31"/>
      <c r="AN1360" s="31"/>
      <c r="AO1360" s="31"/>
      <c r="AP1360" s="31"/>
      <c r="AQ1360" s="31"/>
      <c r="AR1360" s="31"/>
      <c r="AS1360" s="31"/>
      <c r="AT1360" s="31"/>
      <c r="AU1360" s="31"/>
      <c r="AV1360" s="31"/>
      <c r="AW1360" s="31"/>
      <c r="AX1360" s="31"/>
      <c r="AY1360" s="31"/>
      <c r="AZ1360" s="31"/>
      <c r="BA1360" s="31"/>
      <c r="BB1360" s="31"/>
      <c r="BC1360" s="31"/>
      <c r="BD1360" s="31"/>
      <c r="BE1360" s="31"/>
      <c r="BF1360" s="31"/>
      <c r="BG1360" s="31"/>
      <c r="BH1360" s="31"/>
      <c r="BI1360" s="31"/>
    </row>
    <row r="1361" spans="38:61" x14ac:dyDescent="0.2">
      <c r="AL1361" s="31"/>
      <c r="AM1361" s="31"/>
      <c r="AN1361" s="31"/>
      <c r="AO1361" s="31"/>
      <c r="AP1361" s="31"/>
      <c r="AQ1361" s="31"/>
      <c r="AR1361" s="31"/>
      <c r="AS1361" s="31"/>
      <c r="AT1361" s="31"/>
      <c r="AU1361" s="31"/>
      <c r="AV1361" s="31"/>
      <c r="AW1361" s="31"/>
      <c r="AX1361" s="31"/>
      <c r="AY1361" s="31"/>
      <c r="AZ1361" s="31"/>
      <c r="BA1361" s="31"/>
      <c r="BB1361" s="31"/>
      <c r="BC1361" s="31"/>
      <c r="BD1361" s="31"/>
      <c r="BE1361" s="31"/>
      <c r="BF1361" s="31"/>
      <c r="BG1361" s="31"/>
      <c r="BH1361" s="31"/>
      <c r="BI1361" s="31"/>
    </row>
    <row r="1362" spans="38:61" x14ac:dyDescent="0.2">
      <c r="AL1362" s="31"/>
      <c r="AM1362" s="31"/>
      <c r="AN1362" s="31"/>
      <c r="AO1362" s="31"/>
      <c r="AP1362" s="31"/>
      <c r="AQ1362" s="31"/>
      <c r="AR1362" s="31"/>
      <c r="AS1362" s="31"/>
      <c r="AT1362" s="31"/>
      <c r="AU1362" s="31"/>
      <c r="AV1362" s="31"/>
      <c r="AW1362" s="31"/>
      <c r="AX1362" s="31"/>
      <c r="AY1362" s="31"/>
      <c r="AZ1362" s="31"/>
      <c r="BA1362" s="31"/>
      <c r="BB1362" s="31"/>
      <c r="BC1362" s="31"/>
      <c r="BD1362" s="31"/>
      <c r="BE1362" s="31"/>
      <c r="BF1362" s="31"/>
      <c r="BG1362" s="31"/>
      <c r="BH1362" s="31"/>
      <c r="BI1362" s="31"/>
    </row>
    <row r="1363" spans="38:61" x14ac:dyDescent="0.2">
      <c r="AL1363" s="31"/>
      <c r="AM1363" s="31"/>
      <c r="AN1363" s="31"/>
      <c r="AO1363" s="31"/>
      <c r="AP1363" s="31"/>
      <c r="AQ1363" s="31"/>
      <c r="AR1363" s="31"/>
      <c r="AS1363" s="31"/>
      <c r="AT1363" s="31"/>
      <c r="AU1363" s="31"/>
      <c r="AV1363" s="31"/>
      <c r="AW1363" s="31"/>
      <c r="AX1363" s="31"/>
      <c r="AY1363" s="31"/>
      <c r="AZ1363" s="31"/>
      <c r="BA1363" s="31"/>
      <c r="BB1363" s="31"/>
      <c r="BC1363" s="31"/>
      <c r="BD1363" s="31"/>
      <c r="BE1363" s="31"/>
      <c r="BF1363" s="31"/>
      <c r="BG1363" s="31"/>
      <c r="BH1363" s="31"/>
      <c r="BI1363" s="31"/>
    </row>
    <row r="1364" spans="38:61" x14ac:dyDescent="0.2">
      <c r="AL1364" s="31"/>
      <c r="AM1364" s="31"/>
      <c r="AN1364" s="31"/>
      <c r="AO1364" s="31"/>
      <c r="AP1364" s="31"/>
      <c r="AQ1364" s="31"/>
      <c r="AR1364" s="31"/>
      <c r="AS1364" s="31"/>
      <c r="AT1364" s="31"/>
      <c r="AU1364" s="31"/>
      <c r="AV1364" s="31"/>
      <c r="AW1364" s="31"/>
      <c r="AX1364" s="31"/>
      <c r="AY1364" s="31"/>
      <c r="AZ1364" s="31"/>
      <c r="BA1364" s="31"/>
      <c r="BB1364" s="31"/>
      <c r="BC1364" s="31"/>
      <c r="BD1364" s="31"/>
      <c r="BE1364" s="31"/>
      <c r="BF1364" s="31"/>
      <c r="BG1364" s="31"/>
      <c r="BH1364" s="31"/>
      <c r="BI1364" s="31"/>
    </row>
    <row r="1365" spans="38:61" x14ac:dyDescent="0.2">
      <c r="AL1365" s="31"/>
      <c r="AM1365" s="31"/>
      <c r="AN1365" s="31"/>
      <c r="AO1365" s="31"/>
      <c r="AP1365" s="31"/>
      <c r="AQ1365" s="31"/>
      <c r="AR1365" s="31"/>
      <c r="AS1365" s="31"/>
      <c r="AT1365" s="31"/>
      <c r="AU1365" s="31"/>
      <c r="AV1365" s="31"/>
      <c r="AW1365" s="31"/>
      <c r="AX1365" s="31"/>
      <c r="AY1365" s="31"/>
      <c r="AZ1365" s="31"/>
      <c r="BA1365" s="31"/>
      <c r="BB1365" s="31"/>
      <c r="BC1365" s="31"/>
      <c r="BD1365" s="31"/>
      <c r="BE1365" s="31"/>
      <c r="BF1365" s="31"/>
      <c r="BG1365" s="31"/>
      <c r="BH1365" s="31"/>
      <c r="BI1365" s="31"/>
    </row>
    <row r="1366" spans="38:61" x14ac:dyDescent="0.2">
      <c r="AL1366" s="31"/>
      <c r="AM1366" s="31"/>
      <c r="AN1366" s="31"/>
      <c r="AO1366" s="31"/>
      <c r="AP1366" s="31"/>
      <c r="AQ1366" s="31"/>
      <c r="AR1366" s="31"/>
      <c r="AS1366" s="31"/>
      <c r="AT1366" s="31"/>
      <c r="AU1366" s="31"/>
      <c r="AV1366" s="31"/>
      <c r="AW1366" s="31"/>
      <c r="AX1366" s="31"/>
      <c r="AY1366" s="31"/>
      <c r="AZ1366" s="31"/>
      <c r="BA1366" s="31"/>
      <c r="BB1366" s="31"/>
      <c r="BC1366" s="31"/>
      <c r="BD1366" s="31"/>
      <c r="BE1366" s="31"/>
      <c r="BF1366" s="31"/>
      <c r="BG1366" s="31"/>
      <c r="BH1366" s="31"/>
      <c r="BI1366" s="31"/>
    </row>
    <row r="1367" spans="38:61" x14ac:dyDescent="0.2">
      <c r="AL1367" s="31"/>
      <c r="AM1367" s="31"/>
      <c r="AN1367" s="31"/>
      <c r="AO1367" s="31"/>
      <c r="AP1367" s="31"/>
      <c r="AQ1367" s="31"/>
      <c r="AR1367" s="31"/>
      <c r="AS1367" s="31"/>
      <c r="AT1367" s="31"/>
      <c r="AU1367" s="31"/>
      <c r="AV1367" s="31"/>
      <c r="AW1367" s="31"/>
      <c r="AX1367" s="31"/>
      <c r="AY1367" s="31"/>
      <c r="AZ1367" s="31"/>
      <c r="BA1367" s="31"/>
      <c r="BB1367" s="31"/>
      <c r="BC1367" s="31"/>
      <c r="BD1367" s="31"/>
      <c r="BE1367" s="31"/>
      <c r="BF1367" s="31"/>
      <c r="BG1367" s="31"/>
      <c r="BH1367" s="31"/>
      <c r="BI1367" s="31"/>
    </row>
    <row r="1368" spans="38:61" x14ac:dyDescent="0.2">
      <c r="AL1368" s="31"/>
      <c r="AM1368" s="31"/>
      <c r="AN1368" s="31"/>
      <c r="AO1368" s="31"/>
      <c r="AP1368" s="31"/>
      <c r="AQ1368" s="31"/>
      <c r="AR1368" s="31"/>
      <c r="AS1368" s="31"/>
      <c r="AT1368" s="31"/>
      <c r="AU1368" s="31"/>
      <c r="AV1368" s="31"/>
      <c r="AW1368" s="31"/>
      <c r="AX1368" s="31"/>
      <c r="AY1368" s="31"/>
      <c r="AZ1368" s="31"/>
      <c r="BA1368" s="31"/>
      <c r="BB1368" s="31"/>
      <c r="BC1368" s="31"/>
      <c r="BD1368" s="31"/>
      <c r="BE1368" s="31"/>
      <c r="BF1368" s="31"/>
      <c r="BG1368" s="31"/>
      <c r="BH1368" s="31"/>
      <c r="BI1368" s="31"/>
    </row>
    <row r="1369" spans="38:61" x14ac:dyDescent="0.2">
      <c r="AL1369" s="31"/>
      <c r="AM1369" s="31"/>
      <c r="AN1369" s="31"/>
      <c r="AO1369" s="31"/>
      <c r="AP1369" s="31"/>
      <c r="AQ1369" s="31"/>
      <c r="AR1369" s="31"/>
      <c r="AS1369" s="31"/>
      <c r="AT1369" s="31"/>
      <c r="AU1369" s="31"/>
      <c r="AV1369" s="31"/>
      <c r="AW1369" s="31"/>
      <c r="AX1369" s="31"/>
      <c r="AY1369" s="31"/>
      <c r="AZ1369" s="31"/>
      <c r="BA1369" s="31"/>
      <c r="BB1369" s="31"/>
      <c r="BC1369" s="31"/>
      <c r="BD1369" s="31"/>
      <c r="BE1369" s="31"/>
      <c r="BF1369" s="31"/>
      <c r="BG1369" s="31"/>
      <c r="BH1369" s="31"/>
      <c r="BI1369" s="31"/>
    </row>
    <row r="1370" spans="38:61" x14ac:dyDescent="0.2">
      <c r="AL1370" s="31"/>
      <c r="AM1370" s="31"/>
      <c r="AN1370" s="31"/>
      <c r="AO1370" s="31"/>
      <c r="AP1370" s="31"/>
      <c r="AQ1370" s="31"/>
      <c r="AR1370" s="31"/>
      <c r="AS1370" s="31"/>
      <c r="AT1370" s="31"/>
      <c r="AU1370" s="31"/>
      <c r="AV1370" s="31"/>
      <c r="AW1370" s="31"/>
      <c r="AX1370" s="31"/>
      <c r="AY1370" s="31"/>
      <c r="AZ1370" s="31"/>
      <c r="BA1370" s="31"/>
      <c r="BB1370" s="31"/>
      <c r="BC1370" s="31"/>
      <c r="BD1370" s="31"/>
      <c r="BE1370" s="31"/>
      <c r="BF1370" s="31"/>
      <c r="BG1370" s="31"/>
      <c r="BH1370" s="31"/>
      <c r="BI1370" s="31"/>
    </row>
    <row r="1371" spans="38:61" x14ac:dyDescent="0.2">
      <c r="AL1371" s="31"/>
      <c r="AM1371" s="31"/>
      <c r="AN1371" s="31"/>
      <c r="AO1371" s="31"/>
      <c r="AP1371" s="31"/>
      <c r="AQ1371" s="31"/>
      <c r="AR1371" s="31"/>
      <c r="AS1371" s="31"/>
      <c r="AT1371" s="31"/>
      <c r="AU1371" s="31"/>
      <c r="AV1371" s="31"/>
      <c r="AW1371" s="31"/>
      <c r="AX1371" s="31"/>
      <c r="AY1371" s="31"/>
      <c r="AZ1371" s="31"/>
      <c r="BA1371" s="31"/>
      <c r="BB1371" s="31"/>
      <c r="BC1371" s="31"/>
      <c r="BD1371" s="31"/>
      <c r="BE1371" s="31"/>
      <c r="BF1371" s="31"/>
      <c r="BG1371" s="31"/>
      <c r="BH1371" s="31"/>
      <c r="BI1371" s="31"/>
    </row>
    <row r="1372" spans="38:61" x14ac:dyDescent="0.2">
      <c r="AL1372" s="31"/>
      <c r="AM1372" s="31"/>
      <c r="AN1372" s="31"/>
      <c r="AO1372" s="31"/>
      <c r="AP1372" s="31"/>
      <c r="AQ1372" s="31"/>
      <c r="AR1372" s="31"/>
      <c r="AS1372" s="31"/>
      <c r="AT1372" s="31"/>
      <c r="AU1372" s="31"/>
      <c r="AV1372" s="31"/>
      <c r="AW1372" s="31"/>
      <c r="AX1372" s="31"/>
      <c r="AY1372" s="31"/>
      <c r="AZ1372" s="31"/>
      <c r="BA1372" s="31"/>
      <c r="BB1372" s="31"/>
      <c r="BC1372" s="31"/>
      <c r="BD1372" s="31"/>
      <c r="BE1372" s="31"/>
      <c r="BF1372" s="31"/>
      <c r="BG1372" s="31"/>
      <c r="BH1372" s="31"/>
      <c r="BI1372" s="31"/>
    </row>
    <row r="1373" spans="38:61" x14ac:dyDescent="0.2">
      <c r="AL1373" s="31"/>
      <c r="AM1373" s="31"/>
      <c r="AN1373" s="31"/>
      <c r="AO1373" s="31"/>
      <c r="AP1373" s="31"/>
      <c r="AQ1373" s="31"/>
      <c r="AR1373" s="31"/>
      <c r="AS1373" s="31"/>
      <c r="AT1373" s="31"/>
      <c r="AU1373" s="31"/>
      <c r="AV1373" s="31"/>
      <c r="AW1373" s="31"/>
      <c r="AX1373" s="31"/>
      <c r="AY1373" s="31"/>
      <c r="AZ1373" s="31"/>
      <c r="BA1373" s="31"/>
      <c r="BB1373" s="31"/>
      <c r="BC1373" s="31"/>
      <c r="BD1373" s="31"/>
      <c r="BE1373" s="31"/>
      <c r="BF1373" s="31"/>
      <c r="BG1373" s="31"/>
      <c r="BH1373" s="31"/>
      <c r="BI1373" s="31"/>
    </row>
    <row r="1374" spans="38:61" x14ac:dyDescent="0.2">
      <c r="AL1374" s="31"/>
      <c r="AM1374" s="31"/>
      <c r="AN1374" s="31"/>
      <c r="AO1374" s="31"/>
      <c r="AP1374" s="31"/>
      <c r="AQ1374" s="31"/>
      <c r="AR1374" s="31"/>
      <c r="AS1374" s="31"/>
      <c r="AT1374" s="31"/>
      <c r="AU1374" s="31"/>
      <c r="AV1374" s="31"/>
      <c r="AW1374" s="31"/>
      <c r="AX1374" s="31"/>
      <c r="AY1374" s="31"/>
      <c r="AZ1374" s="31"/>
      <c r="BA1374" s="31"/>
      <c r="BB1374" s="31"/>
      <c r="BC1374" s="31"/>
      <c r="BD1374" s="31"/>
      <c r="BE1374" s="31"/>
      <c r="BF1374" s="31"/>
      <c r="BG1374" s="31"/>
      <c r="BH1374" s="31"/>
      <c r="BI1374" s="31"/>
    </row>
    <row r="1375" spans="38:61" x14ac:dyDescent="0.2">
      <c r="AL1375" s="31"/>
      <c r="AM1375" s="31"/>
      <c r="AN1375" s="31"/>
      <c r="AO1375" s="31"/>
      <c r="AP1375" s="31"/>
      <c r="AQ1375" s="31"/>
      <c r="AR1375" s="31"/>
      <c r="AS1375" s="31"/>
      <c r="AT1375" s="31"/>
      <c r="AU1375" s="31"/>
      <c r="AV1375" s="31"/>
      <c r="AW1375" s="31"/>
      <c r="AX1375" s="31"/>
      <c r="AY1375" s="31"/>
      <c r="AZ1375" s="31"/>
      <c r="BA1375" s="31"/>
      <c r="BB1375" s="31"/>
      <c r="BC1375" s="31"/>
      <c r="BD1375" s="31"/>
      <c r="BE1375" s="31"/>
      <c r="BF1375" s="31"/>
      <c r="BG1375" s="31"/>
      <c r="BH1375" s="31"/>
      <c r="BI1375" s="31"/>
    </row>
    <row r="1376" spans="38:61" x14ac:dyDescent="0.2">
      <c r="AL1376" s="31"/>
      <c r="AM1376" s="31"/>
      <c r="AN1376" s="31"/>
      <c r="AO1376" s="31"/>
      <c r="AP1376" s="31"/>
      <c r="AQ1376" s="31"/>
      <c r="AR1376" s="31"/>
      <c r="AS1376" s="31"/>
      <c r="AT1376" s="31"/>
      <c r="AU1376" s="31"/>
      <c r="AV1376" s="31"/>
      <c r="AW1376" s="31"/>
      <c r="AX1376" s="31"/>
      <c r="AY1376" s="31"/>
      <c r="AZ1376" s="31"/>
      <c r="BA1376" s="31"/>
      <c r="BB1376" s="31"/>
      <c r="BC1376" s="31"/>
      <c r="BD1376" s="31"/>
      <c r="BE1376" s="31"/>
      <c r="BF1376" s="31"/>
      <c r="BG1376" s="31"/>
      <c r="BH1376" s="31"/>
      <c r="BI1376" s="31"/>
    </row>
    <row r="1377" spans="38:61" x14ac:dyDescent="0.2">
      <c r="AL1377" s="31"/>
      <c r="AM1377" s="31"/>
      <c r="AN1377" s="31"/>
      <c r="AO1377" s="31"/>
      <c r="AP1377" s="31"/>
      <c r="AQ1377" s="31"/>
      <c r="AR1377" s="31"/>
      <c r="AS1377" s="31"/>
      <c r="AT1377" s="31"/>
      <c r="AU1377" s="31"/>
      <c r="AV1377" s="31"/>
      <c r="AW1377" s="31"/>
      <c r="AX1377" s="31"/>
      <c r="AY1377" s="31"/>
      <c r="AZ1377" s="31"/>
      <c r="BA1377" s="31"/>
      <c r="BB1377" s="31"/>
      <c r="BC1377" s="31"/>
      <c r="BD1377" s="31"/>
      <c r="BE1377" s="31"/>
      <c r="BF1377" s="31"/>
      <c r="BG1377" s="31"/>
      <c r="BH1377" s="31"/>
      <c r="BI1377" s="31"/>
    </row>
    <row r="1378" spans="38:61" x14ac:dyDescent="0.2">
      <c r="AL1378" s="31"/>
      <c r="AM1378" s="31"/>
      <c r="AN1378" s="31"/>
      <c r="AO1378" s="31"/>
      <c r="AP1378" s="31"/>
      <c r="AQ1378" s="31"/>
      <c r="AR1378" s="31"/>
      <c r="AS1378" s="31"/>
      <c r="AT1378" s="31"/>
      <c r="AU1378" s="31"/>
      <c r="AV1378" s="31"/>
      <c r="AW1378" s="31"/>
      <c r="AX1378" s="31"/>
      <c r="AY1378" s="31"/>
      <c r="AZ1378" s="31"/>
      <c r="BA1378" s="31"/>
      <c r="BB1378" s="31"/>
      <c r="BC1378" s="31"/>
      <c r="BD1378" s="31"/>
      <c r="BE1378" s="31"/>
      <c r="BF1378" s="31"/>
      <c r="BG1378" s="31"/>
      <c r="BH1378" s="31"/>
      <c r="BI1378" s="31"/>
    </row>
    <row r="1379" spans="38:61" x14ac:dyDescent="0.2">
      <c r="AL1379" s="31"/>
      <c r="AM1379" s="31"/>
      <c r="AN1379" s="31"/>
      <c r="AO1379" s="31"/>
      <c r="AP1379" s="31"/>
      <c r="AQ1379" s="31"/>
      <c r="AR1379" s="31"/>
      <c r="AS1379" s="31"/>
      <c r="AT1379" s="31"/>
      <c r="AU1379" s="31"/>
      <c r="AV1379" s="31"/>
      <c r="AW1379" s="31"/>
      <c r="AX1379" s="31"/>
      <c r="AY1379" s="31"/>
      <c r="AZ1379" s="31"/>
      <c r="BA1379" s="31"/>
      <c r="BB1379" s="31"/>
      <c r="BC1379" s="31"/>
      <c r="BD1379" s="31"/>
      <c r="BE1379" s="31"/>
      <c r="BF1379" s="31"/>
      <c r="BG1379" s="31"/>
      <c r="BH1379" s="31"/>
      <c r="BI1379" s="31"/>
    </row>
    <row r="1380" spans="38:61" x14ac:dyDescent="0.2">
      <c r="AL1380" s="31"/>
      <c r="AM1380" s="31"/>
      <c r="AN1380" s="31"/>
      <c r="AO1380" s="31"/>
      <c r="AP1380" s="31"/>
      <c r="AQ1380" s="31"/>
      <c r="AR1380" s="31"/>
      <c r="AS1380" s="31"/>
      <c r="AT1380" s="31"/>
      <c r="AU1380" s="31"/>
      <c r="AV1380" s="31"/>
      <c r="AW1380" s="31"/>
      <c r="AX1380" s="31"/>
      <c r="AY1380" s="31"/>
      <c r="AZ1380" s="31"/>
      <c r="BA1380" s="31"/>
      <c r="BB1380" s="31"/>
      <c r="BC1380" s="31"/>
      <c r="BD1380" s="31"/>
      <c r="BE1380" s="31"/>
      <c r="BF1380" s="31"/>
      <c r="BG1380" s="31"/>
      <c r="BH1380" s="31"/>
      <c r="BI1380" s="31"/>
    </row>
    <row r="1381" spans="38:61" x14ac:dyDescent="0.2">
      <c r="AL1381" s="31"/>
      <c r="AM1381" s="31"/>
      <c r="AN1381" s="31"/>
      <c r="AO1381" s="31"/>
      <c r="AP1381" s="31"/>
      <c r="AQ1381" s="31"/>
      <c r="AR1381" s="31"/>
      <c r="AS1381" s="31"/>
      <c r="AT1381" s="31"/>
      <c r="AU1381" s="31"/>
      <c r="AV1381" s="31"/>
      <c r="AW1381" s="31"/>
      <c r="AX1381" s="31"/>
      <c r="AY1381" s="31"/>
      <c r="AZ1381" s="31"/>
      <c r="BA1381" s="31"/>
      <c r="BB1381" s="31"/>
      <c r="BC1381" s="31"/>
      <c r="BD1381" s="31"/>
      <c r="BE1381" s="31"/>
      <c r="BF1381" s="31"/>
      <c r="BG1381" s="31"/>
      <c r="BH1381" s="31"/>
      <c r="BI1381" s="31"/>
    </row>
    <row r="1382" spans="38:61" x14ac:dyDescent="0.2">
      <c r="AL1382" s="31"/>
      <c r="AM1382" s="31"/>
      <c r="AN1382" s="31"/>
      <c r="AO1382" s="31"/>
      <c r="AP1382" s="31"/>
      <c r="AQ1382" s="31"/>
      <c r="AR1382" s="31"/>
      <c r="AS1382" s="31"/>
      <c r="AT1382" s="31"/>
      <c r="AU1382" s="31"/>
      <c r="AV1382" s="31"/>
      <c r="AW1382" s="31"/>
      <c r="AX1382" s="31"/>
      <c r="AY1382" s="31"/>
      <c r="AZ1382" s="31"/>
      <c r="BA1382" s="31"/>
      <c r="BB1382" s="31"/>
      <c r="BC1382" s="31"/>
      <c r="BD1382" s="31"/>
      <c r="BE1382" s="31"/>
      <c r="BF1382" s="31"/>
      <c r="BG1382" s="31"/>
      <c r="BH1382" s="31"/>
      <c r="BI1382" s="31"/>
    </row>
    <row r="1383" spans="38:61" x14ac:dyDescent="0.2">
      <c r="AL1383" s="31"/>
      <c r="AM1383" s="31"/>
      <c r="AN1383" s="31"/>
      <c r="AO1383" s="31"/>
      <c r="AP1383" s="31"/>
      <c r="AQ1383" s="31"/>
      <c r="AR1383" s="31"/>
      <c r="AS1383" s="31"/>
      <c r="AT1383" s="31"/>
      <c r="AU1383" s="31"/>
      <c r="AV1383" s="31"/>
      <c r="AW1383" s="31"/>
      <c r="AX1383" s="31"/>
      <c r="AY1383" s="31"/>
      <c r="AZ1383" s="31"/>
      <c r="BA1383" s="31"/>
      <c r="BB1383" s="31"/>
      <c r="BC1383" s="31"/>
      <c r="BD1383" s="31"/>
      <c r="BE1383" s="31"/>
      <c r="BF1383" s="31"/>
      <c r="BG1383" s="31"/>
      <c r="BH1383" s="31"/>
      <c r="BI1383" s="31"/>
    </row>
    <row r="1384" spans="38:61" x14ac:dyDescent="0.2">
      <c r="AL1384" s="31"/>
      <c r="AM1384" s="31"/>
      <c r="AN1384" s="31"/>
      <c r="AO1384" s="31"/>
      <c r="AP1384" s="31"/>
      <c r="AQ1384" s="31"/>
      <c r="AR1384" s="31"/>
      <c r="AS1384" s="31"/>
      <c r="AT1384" s="31"/>
      <c r="AU1384" s="31"/>
      <c r="AV1384" s="31"/>
      <c r="AW1384" s="31"/>
      <c r="AX1384" s="31"/>
      <c r="AY1384" s="31"/>
      <c r="AZ1384" s="31"/>
      <c r="BA1384" s="31"/>
      <c r="BB1384" s="31"/>
      <c r="BC1384" s="31"/>
      <c r="BD1384" s="31"/>
      <c r="BE1384" s="31"/>
      <c r="BF1384" s="31"/>
      <c r="BG1384" s="31"/>
      <c r="BH1384" s="31"/>
      <c r="BI1384" s="31"/>
    </row>
    <row r="1385" spans="38:61" x14ac:dyDescent="0.2">
      <c r="AL1385" s="31"/>
      <c r="AM1385" s="31"/>
      <c r="AN1385" s="31"/>
      <c r="AO1385" s="31"/>
      <c r="AP1385" s="31"/>
      <c r="AQ1385" s="31"/>
      <c r="AR1385" s="31"/>
      <c r="AS1385" s="31"/>
      <c r="AT1385" s="31"/>
      <c r="AU1385" s="31"/>
      <c r="AV1385" s="31"/>
      <c r="AW1385" s="31"/>
      <c r="AX1385" s="31"/>
      <c r="AY1385" s="31"/>
      <c r="AZ1385" s="31"/>
      <c r="BA1385" s="31"/>
      <c r="BB1385" s="31"/>
      <c r="BC1385" s="31"/>
      <c r="BD1385" s="31"/>
      <c r="BE1385" s="31"/>
      <c r="BF1385" s="31"/>
      <c r="BG1385" s="31"/>
      <c r="BH1385" s="31"/>
      <c r="BI1385" s="31"/>
    </row>
    <row r="1386" spans="38:61" x14ac:dyDescent="0.2">
      <c r="AL1386" s="31"/>
      <c r="AM1386" s="31"/>
      <c r="AN1386" s="31"/>
      <c r="AO1386" s="31"/>
      <c r="AP1386" s="31"/>
      <c r="AQ1386" s="31"/>
      <c r="AR1386" s="31"/>
      <c r="AS1386" s="31"/>
      <c r="AT1386" s="31"/>
      <c r="AU1386" s="31"/>
      <c r="AV1386" s="31"/>
      <c r="AW1386" s="31"/>
      <c r="AX1386" s="31"/>
      <c r="AY1386" s="31"/>
      <c r="AZ1386" s="31"/>
      <c r="BA1386" s="31"/>
      <c r="BB1386" s="31"/>
      <c r="BC1386" s="31"/>
      <c r="BD1386" s="31"/>
      <c r="BE1386" s="31"/>
      <c r="BF1386" s="31"/>
      <c r="BG1386" s="31"/>
      <c r="BH1386" s="31"/>
      <c r="BI1386" s="31"/>
    </row>
    <row r="1387" spans="38:61" x14ac:dyDescent="0.2">
      <c r="AL1387" s="31"/>
      <c r="AM1387" s="31"/>
      <c r="AN1387" s="31"/>
      <c r="AO1387" s="31"/>
      <c r="AP1387" s="31"/>
      <c r="AQ1387" s="31"/>
      <c r="AR1387" s="31"/>
      <c r="AS1387" s="31"/>
      <c r="AT1387" s="31"/>
      <c r="AU1387" s="31"/>
      <c r="AV1387" s="31"/>
      <c r="AW1387" s="31"/>
      <c r="AX1387" s="31"/>
      <c r="AY1387" s="31"/>
      <c r="AZ1387" s="31"/>
      <c r="BA1387" s="31"/>
      <c r="BB1387" s="31"/>
      <c r="BC1387" s="31"/>
      <c r="BD1387" s="31"/>
      <c r="BE1387" s="31"/>
      <c r="BF1387" s="31"/>
      <c r="BG1387" s="31"/>
      <c r="BH1387" s="31"/>
      <c r="BI1387" s="31"/>
    </row>
    <row r="1388" spans="38:61" x14ac:dyDescent="0.2">
      <c r="AL1388" s="31"/>
      <c r="AM1388" s="31"/>
      <c r="AN1388" s="31"/>
      <c r="AO1388" s="31"/>
      <c r="AP1388" s="31"/>
      <c r="AQ1388" s="31"/>
      <c r="AR1388" s="31"/>
      <c r="AS1388" s="31"/>
      <c r="AT1388" s="31"/>
      <c r="AU1388" s="31"/>
      <c r="AV1388" s="31"/>
      <c r="AW1388" s="31"/>
      <c r="AX1388" s="31"/>
      <c r="AY1388" s="31"/>
      <c r="AZ1388" s="31"/>
      <c r="BA1388" s="31"/>
      <c r="BB1388" s="31"/>
      <c r="BC1388" s="31"/>
      <c r="BD1388" s="31"/>
      <c r="BE1388" s="31"/>
      <c r="BF1388" s="31"/>
      <c r="BG1388" s="31"/>
      <c r="BH1388" s="31"/>
      <c r="BI1388" s="31"/>
    </row>
    <row r="1389" spans="38:61" x14ac:dyDescent="0.2">
      <c r="AL1389" s="31"/>
      <c r="AM1389" s="31"/>
      <c r="AN1389" s="31"/>
      <c r="AO1389" s="31"/>
      <c r="AP1389" s="31"/>
      <c r="AQ1389" s="31"/>
      <c r="AR1389" s="31"/>
      <c r="AS1389" s="31"/>
      <c r="AT1389" s="31"/>
      <c r="AU1389" s="31"/>
      <c r="AV1389" s="31"/>
      <c r="AW1389" s="31"/>
      <c r="AX1389" s="31"/>
      <c r="AY1389" s="31"/>
      <c r="AZ1389" s="31"/>
      <c r="BA1389" s="31"/>
      <c r="BB1389" s="31"/>
      <c r="BC1389" s="31"/>
      <c r="BD1389" s="31"/>
      <c r="BE1389" s="31"/>
      <c r="BF1389" s="31"/>
      <c r="BG1389" s="31"/>
      <c r="BH1389" s="31"/>
      <c r="BI1389" s="31"/>
    </row>
    <row r="1390" spans="38:61" x14ac:dyDescent="0.2">
      <c r="AL1390" s="31"/>
      <c r="AM1390" s="31"/>
      <c r="AN1390" s="31"/>
      <c r="AO1390" s="31"/>
      <c r="AP1390" s="31"/>
      <c r="AQ1390" s="31"/>
      <c r="AR1390" s="31"/>
      <c r="AS1390" s="31"/>
      <c r="AT1390" s="31"/>
      <c r="AU1390" s="31"/>
      <c r="AV1390" s="31"/>
      <c r="AW1390" s="31"/>
      <c r="AX1390" s="31"/>
      <c r="AY1390" s="31"/>
      <c r="AZ1390" s="31"/>
      <c r="BA1390" s="31"/>
      <c r="BB1390" s="31"/>
      <c r="BC1390" s="31"/>
      <c r="BD1390" s="31"/>
      <c r="BE1390" s="31"/>
      <c r="BF1390" s="31"/>
      <c r="BG1390" s="31"/>
      <c r="BH1390" s="31"/>
      <c r="BI1390" s="31"/>
    </row>
    <row r="1391" spans="38:61" x14ac:dyDescent="0.2">
      <c r="AL1391" s="31"/>
      <c r="AM1391" s="31"/>
      <c r="AN1391" s="31"/>
      <c r="AO1391" s="31"/>
      <c r="AP1391" s="31"/>
      <c r="AQ1391" s="31"/>
      <c r="AR1391" s="31"/>
      <c r="AS1391" s="31"/>
      <c r="AT1391" s="31"/>
      <c r="AU1391" s="31"/>
      <c r="AV1391" s="31"/>
      <c r="AW1391" s="31"/>
      <c r="AX1391" s="31"/>
      <c r="AY1391" s="31"/>
      <c r="AZ1391" s="31"/>
      <c r="BA1391" s="31"/>
      <c r="BB1391" s="31"/>
      <c r="BC1391" s="31"/>
      <c r="BD1391" s="31"/>
      <c r="BE1391" s="31"/>
      <c r="BF1391" s="31"/>
      <c r="BG1391" s="31"/>
      <c r="BH1391" s="31"/>
      <c r="BI1391" s="31"/>
    </row>
    <row r="1392" spans="38:61" x14ac:dyDescent="0.2">
      <c r="AL1392" s="31"/>
      <c r="AM1392" s="31"/>
      <c r="AN1392" s="31"/>
      <c r="AO1392" s="31"/>
      <c r="AP1392" s="31"/>
      <c r="AQ1392" s="31"/>
      <c r="AR1392" s="31"/>
      <c r="AS1392" s="31"/>
      <c r="AT1392" s="31"/>
      <c r="AU1392" s="31"/>
      <c r="AV1392" s="31"/>
      <c r="AW1392" s="31"/>
      <c r="AX1392" s="31"/>
      <c r="AY1392" s="31"/>
      <c r="AZ1392" s="31"/>
      <c r="BA1392" s="31"/>
      <c r="BB1392" s="31"/>
      <c r="BC1392" s="31"/>
      <c r="BD1392" s="31"/>
      <c r="BE1392" s="31"/>
      <c r="BF1392" s="31"/>
      <c r="BG1392" s="31"/>
      <c r="BH1392" s="31"/>
      <c r="BI1392" s="31"/>
    </row>
    <row r="1393" spans="38:61" x14ac:dyDescent="0.2">
      <c r="AL1393" s="31"/>
      <c r="AM1393" s="31"/>
      <c r="AN1393" s="31"/>
      <c r="AO1393" s="31"/>
      <c r="AP1393" s="31"/>
      <c r="AQ1393" s="31"/>
      <c r="AR1393" s="31"/>
      <c r="AS1393" s="31"/>
      <c r="AT1393" s="31"/>
      <c r="AU1393" s="31"/>
      <c r="AV1393" s="31"/>
      <c r="AW1393" s="31"/>
      <c r="AX1393" s="31"/>
      <c r="AY1393" s="31"/>
      <c r="AZ1393" s="31"/>
      <c r="BA1393" s="31"/>
      <c r="BB1393" s="31"/>
      <c r="BC1393" s="31"/>
      <c r="BD1393" s="31"/>
      <c r="BE1393" s="31"/>
      <c r="BF1393" s="31"/>
      <c r="BG1393" s="31"/>
      <c r="BH1393" s="31"/>
      <c r="BI1393" s="31"/>
    </row>
    <row r="1394" spans="38:61" x14ac:dyDescent="0.2">
      <c r="AL1394" s="31"/>
      <c r="AM1394" s="31"/>
      <c r="AN1394" s="31"/>
      <c r="AO1394" s="31"/>
      <c r="AP1394" s="31"/>
      <c r="AQ1394" s="31"/>
      <c r="AR1394" s="31"/>
      <c r="AS1394" s="31"/>
      <c r="AT1394" s="31"/>
      <c r="AU1394" s="31"/>
      <c r="AV1394" s="31"/>
      <c r="AW1394" s="31"/>
      <c r="AX1394" s="31"/>
      <c r="AY1394" s="31"/>
      <c r="AZ1394" s="31"/>
      <c r="BA1394" s="31"/>
      <c r="BB1394" s="31"/>
      <c r="BC1394" s="31"/>
      <c r="BD1394" s="31"/>
      <c r="BE1394" s="31"/>
      <c r="BF1394" s="31"/>
      <c r="BG1394" s="31"/>
      <c r="BH1394" s="31"/>
      <c r="BI1394" s="31"/>
    </row>
    <row r="1395" spans="38:61" x14ac:dyDescent="0.2">
      <c r="AL1395" s="31"/>
      <c r="AM1395" s="31"/>
      <c r="AN1395" s="31"/>
      <c r="AO1395" s="31"/>
      <c r="AP1395" s="31"/>
      <c r="AQ1395" s="31"/>
      <c r="AR1395" s="31"/>
      <c r="AS1395" s="31"/>
      <c r="AT1395" s="31"/>
      <c r="AU1395" s="31"/>
      <c r="AV1395" s="31"/>
      <c r="AW1395" s="31"/>
      <c r="AX1395" s="31"/>
      <c r="AY1395" s="31"/>
      <c r="AZ1395" s="31"/>
      <c r="BA1395" s="31"/>
      <c r="BB1395" s="31"/>
      <c r="BC1395" s="31"/>
      <c r="BD1395" s="31"/>
      <c r="BE1395" s="31"/>
      <c r="BF1395" s="31"/>
      <c r="BG1395" s="31"/>
      <c r="BH1395" s="31"/>
      <c r="BI1395" s="31"/>
    </row>
    <row r="1396" spans="38:61" x14ac:dyDescent="0.2">
      <c r="AL1396" s="31"/>
      <c r="AM1396" s="31"/>
      <c r="AN1396" s="31"/>
      <c r="AO1396" s="31"/>
      <c r="AP1396" s="31"/>
      <c r="AQ1396" s="31"/>
      <c r="AR1396" s="31"/>
      <c r="AS1396" s="31"/>
      <c r="AT1396" s="31"/>
      <c r="AU1396" s="31"/>
      <c r="AV1396" s="31"/>
      <c r="AW1396" s="31"/>
      <c r="AX1396" s="31"/>
      <c r="AY1396" s="31"/>
      <c r="AZ1396" s="31"/>
      <c r="BA1396" s="31"/>
      <c r="BB1396" s="31"/>
      <c r="BC1396" s="31"/>
      <c r="BD1396" s="31"/>
      <c r="BE1396" s="31"/>
      <c r="BF1396" s="31"/>
      <c r="BG1396" s="31"/>
      <c r="BH1396" s="31"/>
      <c r="BI1396" s="31"/>
    </row>
    <row r="1397" spans="38:61" x14ac:dyDescent="0.2">
      <c r="AL1397" s="31"/>
      <c r="AM1397" s="31"/>
      <c r="AN1397" s="31"/>
      <c r="AO1397" s="31"/>
      <c r="AP1397" s="31"/>
      <c r="AQ1397" s="31"/>
      <c r="AR1397" s="31"/>
      <c r="AS1397" s="31"/>
      <c r="AT1397" s="31"/>
      <c r="AU1397" s="31"/>
      <c r="AV1397" s="31"/>
      <c r="AW1397" s="31"/>
      <c r="AX1397" s="31"/>
      <c r="AY1397" s="31"/>
      <c r="AZ1397" s="31"/>
      <c r="BA1397" s="31"/>
      <c r="BB1397" s="31"/>
      <c r="BC1397" s="31"/>
      <c r="BD1397" s="31"/>
      <c r="BE1397" s="31"/>
      <c r="BF1397" s="31"/>
      <c r="BG1397" s="31"/>
      <c r="BH1397" s="31"/>
      <c r="BI1397" s="31"/>
    </row>
    <row r="1398" spans="38:61" x14ac:dyDescent="0.2">
      <c r="AL1398" s="31"/>
      <c r="AM1398" s="31"/>
      <c r="AN1398" s="31"/>
      <c r="AO1398" s="31"/>
      <c r="AP1398" s="31"/>
      <c r="AQ1398" s="31"/>
      <c r="AR1398" s="31"/>
      <c r="AS1398" s="31"/>
      <c r="AT1398" s="31"/>
      <c r="AU1398" s="31"/>
      <c r="AV1398" s="31"/>
      <c r="AW1398" s="31"/>
      <c r="AX1398" s="31"/>
      <c r="AY1398" s="31"/>
      <c r="AZ1398" s="31"/>
      <c r="BA1398" s="31"/>
      <c r="BB1398" s="31"/>
      <c r="BC1398" s="31"/>
      <c r="BD1398" s="31"/>
      <c r="BE1398" s="31"/>
      <c r="BF1398" s="31"/>
      <c r="BG1398" s="31"/>
      <c r="BH1398" s="31"/>
      <c r="BI1398" s="31"/>
    </row>
    <row r="1399" spans="38:61" x14ac:dyDescent="0.2">
      <c r="AL1399" s="31"/>
      <c r="AM1399" s="31"/>
      <c r="AN1399" s="31"/>
      <c r="AO1399" s="31"/>
      <c r="AP1399" s="31"/>
      <c r="AQ1399" s="31"/>
      <c r="AR1399" s="31"/>
      <c r="AS1399" s="31"/>
      <c r="AT1399" s="31"/>
      <c r="AU1399" s="31"/>
      <c r="AV1399" s="31"/>
      <c r="AW1399" s="31"/>
      <c r="AX1399" s="31"/>
      <c r="AY1399" s="31"/>
      <c r="AZ1399" s="31"/>
      <c r="BA1399" s="31"/>
      <c r="BB1399" s="31"/>
      <c r="BC1399" s="31"/>
      <c r="BD1399" s="31"/>
      <c r="BE1399" s="31"/>
      <c r="BF1399" s="31"/>
      <c r="BG1399" s="31"/>
      <c r="BH1399" s="31"/>
      <c r="BI1399" s="31"/>
    </row>
    <row r="1400" spans="38:61" x14ac:dyDescent="0.2">
      <c r="AL1400" s="31"/>
      <c r="AM1400" s="31"/>
      <c r="AN1400" s="31"/>
      <c r="AO1400" s="31"/>
      <c r="AP1400" s="31"/>
      <c r="AQ1400" s="31"/>
      <c r="AR1400" s="31"/>
      <c r="AS1400" s="31"/>
      <c r="AT1400" s="31"/>
      <c r="AU1400" s="31"/>
      <c r="AV1400" s="31"/>
      <c r="AW1400" s="31"/>
      <c r="AX1400" s="31"/>
      <c r="AY1400" s="31"/>
      <c r="AZ1400" s="31"/>
      <c r="BA1400" s="31"/>
      <c r="BB1400" s="31"/>
      <c r="BC1400" s="31"/>
      <c r="BD1400" s="31"/>
      <c r="BE1400" s="31"/>
      <c r="BF1400" s="31"/>
      <c r="BG1400" s="31"/>
      <c r="BH1400" s="31"/>
      <c r="BI1400" s="31"/>
    </row>
    <row r="1401" spans="38:61" x14ac:dyDescent="0.2">
      <c r="AL1401" s="31"/>
      <c r="AM1401" s="31"/>
      <c r="AN1401" s="31"/>
      <c r="AO1401" s="31"/>
      <c r="AP1401" s="31"/>
      <c r="AQ1401" s="31"/>
      <c r="AR1401" s="31"/>
      <c r="AS1401" s="31"/>
      <c r="AT1401" s="31"/>
      <c r="AU1401" s="31"/>
      <c r="AV1401" s="31"/>
      <c r="AW1401" s="31"/>
      <c r="AX1401" s="31"/>
      <c r="AY1401" s="31"/>
      <c r="AZ1401" s="31"/>
      <c r="BA1401" s="31"/>
      <c r="BB1401" s="31"/>
      <c r="BC1401" s="31"/>
      <c r="BD1401" s="31"/>
      <c r="BE1401" s="31"/>
      <c r="BF1401" s="31"/>
      <c r="BG1401" s="31"/>
      <c r="BH1401" s="31"/>
      <c r="BI1401" s="31"/>
    </row>
  </sheetData>
  <mergeCells count="6">
    <mergeCell ref="A1:F1"/>
    <mergeCell ref="A2:F2"/>
    <mergeCell ref="A17:F17"/>
    <mergeCell ref="B147:F147"/>
    <mergeCell ref="B166:F166"/>
    <mergeCell ref="B185:F185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2:AD336"/>
  <sheetViews>
    <sheetView showGridLines="0" tabSelected="1" zoomScale="90" zoomScaleNormal="9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F4" sqref="F4"/>
    </sheetView>
  </sheetViews>
  <sheetFormatPr defaultRowHeight="15.75" x14ac:dyDescent="0.25"/>
  <cols>
    <col min="1" max="1" width="1.6640625" style="258" customWidth="1"/>
    <col min="2" max="2" width="6.21875" style="4" customWidth="1"/>
    <col min="3" max="6" width="7.5546875" style="4" bestFit="1" customWidth="1"/>
    <col min="7" max="7" width="7.77734375" style="4" bestFit="1" customWidth="1"/>
    <col min="8" max="9" width="7.5546875" style="4" bestFit="1" customWidth="1"/>
    <col min="10" max="10" width="7.77734375" style="4" bestFit="1" customWidth="1"/>
    <col min="11" max="11" width="7.5546875" style="4" bestFit="1" customWidth="1"/>
    <col min="12" max="13" width="7.5546875" style="5" bestFit="1" customWidth="1"/>
    <col min="14" max="15" width="7.77734375" style="4" bestFit="1" customWidth="1"/>
    <col min="16" max="16" width="7.5546875" style="4" bestFit="1" customWidth="1"/>
    <col min="17" max="18" width="7.77734375" style="4" bestFit="1" customWidth="1"/>
    <col min="19" max="19" width="7.5546875" style="4" bestFit="1" customWidth="1"/>
    <col min="20" max="21" width="7.77734375" style="4" bestFit="1" customWidth="1"/>
    <col min="22" max="22" width="7.5546875" style="4" bestFit="1" customWidth="1"/>
    <col min="23" max="26" width="7.77734375" style="4" bestFit="1" customWidth="1"/>
    <col min="27" max="28" width="7.5546875" style="4" bestFit="1" customWidth="1"/>
    <col min="29" max="16384" width="8.88671875" style="258"/>
  </cols>
  <sheetData>
    <row r="2" spans="2:29" x14ac:dyDescent="0.25">
      <c r="B2" s="260" t="s">
        <v>192</v>
      </c>
    </row>
    <row r="3" spans="2:29" x14ac:dyDescent="0.25">
      <c r="B3" s="260" t="s">
        <v>193</v>
      </c>
    </row>
    <row r="4" spans="2:29" x14ac:dyDescent="0.25">
      <c r="B4" s="260" t="s">
        <v>194</v>
      </c>
    </row>
    <row r="5" spans="2:29" ht="6" customHeight="1" x14ac:dyDescent="0.25">
      <c r="B5" s="261"/>
    </row>
    <row r="6" spans="2:29" x14ac:dyDescent="0.25">
      <c r="B6" s="261" t="s">
        <v>201</v>
      </c>
    </row>
    <row r="7" spans="2:29" x14ac:dyDescent="0.25">
      <c r="B7" s="261" t="s">
        <v>195</v>
      </c>
    </row>
    <row r="8" spans="2:29" x14ac:dyDescent="0.25">
      <c r="B8" s="262" t="s">
        <v>196</v>
      </c>
    </row>
    <row r="9" spans="2:29" x14ac:dyDescent="0.25">
      <c r="B9" s="262" t="s">
        <v>197</v>
      </c>
    </row>
    <row r="11" spans="2:29" x14ac:dyDescent="0.25">
      <c r="B11" s="348" t="s">
        <v>202</v>
      </c>
      <c r="C11" s="348"/>
      <c r="D11" s="348"/>
      <c r="E11" s="348"/>
      <c r="F11" s="348"/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/>
      <c r="U11" s="348"/>
      <c r="V11" s="348"/>
      <c r="W11" s="348"/>
      <c r="X11" s="348"/>
      <c r="Y11" s="348"/>
      <c r="Z11" s="348"/>
      <c r="AA11" s="348"/>
      <c r="AB11" s="348"/>
    </row>
    <row r="12" spans="2:29" s="263" customFormat="1" ht="24" x14ac:dyDescent="0.2">
      <c r="B12" s="264" t="s">
        <v>8</v>
      </c>
      <c r="C12" s="265">
        <v>1993</v>
      </c>
      <c r="D12" s="265">
        <v>1994</v>
      </c>
      <c r="E12" s="265">
        <v>1995</v>
      </c>
      <c r="F12" s="265">
        <v>1996</v>
      </c>
      <c r="G12" s="265">
        <v>1997</v>
      </c>
      <c r="H12" s="265">
        <v>1998</v>
      </c>
      <c r="I12" s="265">
        <v>1999</v>
      </c>
      <c r="J12" s="266">
        <v>2000</v>
      </c>
      <c r="K12" s="266">
        <v>2001</v>
      </c>
      <c r="L12" s="265">
        <v>2002</v>
      </c>
      <c r="M12" s="265">
        <v>2003</v>
      </c>
      <c r="N12" s="265">
        <v>2004</v>
      </c>
      <c r="O12" s="265">
        <v>2005</v>
      </c>
      <c r="P12" s="265">
        <v>2006</v>
      </c>
      <c r="Q12" s="265">
        <v>2007</v>
      </c>
      <c r="R12" s="265">
        <v>2008</v>
      </c>
      <c r="S12" s="265">
        <v>2009</v>
      </c>
      <c r="T12" s="265">
        <v>2010</v>
      </c>
      <c r="U12" s="265">
        <v>2011</v>
      </c>
      <c r="V12" s="265">
        <v>2012</v>
      </c>
      <c r="W12" s="265">
        <v>2013</v>
      </c>
      <c r="X12" s="265">
        <v>2014</v>
      </c>
      <c r="Y12" s="265">
        <v>2015</v>
      </c>
      <c r="Z12" s="265">
        <v>2016</v>
      </c>
      <c r="AA12" s="265">
        <v>2017</v>
      </c>
      <c r="AB12" s="265">
        <v>2018</v>
      </c>
      <c r="AC12" s="267" t="s">
        <v>218</v>
      </c>
    </row>
    <row r="13" spans="2:29" x14ac:dyDescent="0.25">
      <c r="B13" s="268" t="s">
        <v>9</v>
      </c>
      <c r="C13" s="269">
        <v>10547</v>
      </c>
      <c r="D13" s="269">
        <v>11670</v>
      </c>
      <c r="E13" s="269">
        <v>14056</v>
      </c>
      <c r="F13" s="269">
        <v>6790</v>
      </c>
      <c r="G13" s="270">
        <v>11791</v>
      </c>
      <c r="H13" s="271">
        <v>13099</v>
      </c>
      <c r="I13" s="271">
        <v>11337</v>
      </c>
      <c r="J13" s="270">
        <v>9399</v>
      </c>
      <c r="K13" s="270">
        <v>11794</v>
      </c>
      <c r="L13" s="272">
        <v>9030</v>
      </c>
      <c r="M13" s="272">
        <v>9193</v>
      </c>
      <c r="N13" s="273">
        <v>10507</v>
      </c>
      <c r="O13" s="273">
        <v>13486</v>
      </c>
      <c r="P13" s="273">
        <v>15456</v>
      </c>
      <c r="Q13" s="273">
        <f>+[2]summary!P5</f>
        <v>16695</v>
      </c>
      <c r="R13" s="273">
        <f>+[3]summary!Q5</f>
        <v>12336</v>
      </c>
      <c r="S13" s="273">
        <f>[4]summary!R5</f>
        <v>10063</v>
      </c>
      <c r="T13" s="273">
        <f>[5]summary!S5</f>
        <v>10502</v>
      </c>
      <c r="U13" s="273">
        <f>[6]summary!T5</f>
        <v>11632</v>
      </c>
      <c r="V13" s="273">
        <f>[7]summary!U5</f>
        <v>13166</v>
      </c>
      <c r="W13" s="273">
        <f>[8]summary!V5</f>
        <v>14126</v>
      </c>
      <c r="X13" s="273">
        <f>[9]summary!W5</f>
        <v>17183</v>
      </c>
      <c r="Y13" s="273">
        <f>[11]Summary!Y13</f>
        <v>19602</v>
      </c>
      <c r="Z13" s="273">
        <f>[11]Summary!Z13</f>
        <v>17918</v>
      </c>
      <c r="AA13" s="273">
        <f>[11]Summary!AA13</f>
        <v>18114</v>
      </c>
      <c r="AB13" s="273">
        <f>'Data Entry'!F95</f>
        <v>4984</v>
      </c>
      <c r="AC13" s="279">
        <f>(AB13-AA13)/AA13</f>
        <v>-0.72485370431710283</v>
      </c>
    </row>
    <row r="14" spans="2:29" x14ac:dyDescent="0.25">
      <c r="B14" s="268" t="s">
        <v>10</v>
      </c>
      <c r="C14" s="274">
        <v>11204</v>
      </c>
      <c r="D14" s="274">
        <v>12647</v>
      </c>
      <c r="E14" s="274">
        <v>13854</v>
      </c>
      <c r="F14" s="274">
        <v>8205</v>
      </c>
      <c r="G14" s="275">
        <v>11413</v>
      </c>
      <c r="H14" s="276">
        <v>12429</v>
      </c>
      <c r="I14" s="276">
        <v>10671</v>
      </c>
      <c r="J14" s="275">
        <v>11299</v>
      </c>
      <c r="K14" s="275">
        <v>11486</v>
      </c>
      <c r="L14" s="277">
        <v>10533</v>
      </c>
      <c r="M14" s="277">
        <v>10164</v>
      </c>
      <c r="N14" s="278">
        <v>11797</v>
      </c>
      <c r="O14" s="278">
        <v>14137</v>
      </c>
      <c r="P14" s="278">
        <v>15383</v>
      </c>
      <c r="Q14" s="278">
        <f>+[2]summary!P6</f>
        <v>16452</v>
      </c>
      <c r="R14" s="278">
        <f>+[3]summary!Q6</f>
        <v>12549</v>
      </c>
      <c r="S14" s="278">
        <f>[4]summary!R6</f>
        <v>10034</v>
      </c>
      <c r="T14" s="278">
        <f>[5]summary!S6</f>
        <v>12037</v>
      </c>
      <c r="U14" s="278">
        <f>[6]summary!T6</f>
        <v>12002</v>
      </c>
      <c r="V14" s="278">
        <f>[7]summary!U6</f>
        <v>13361</v>
      </c>
      <c r="W14" s="278">
        <f>[8]summary!V6</f>
        <v>14705</v>
      </c>
      <c r="X14" s="278">
        <f>[9]summary!W6</f>
        <v>16354</v>
      </c>
      <c r="Y14" s="278">
        <f>[11]Summary!Y14</f>
        <v>18111</v>
      </c>
      <c r="Z14" s="278">
        <f>[11]Summary!Z14</f>
        <v>16869</v>
      </c>
      <c r="AA14" s="278">
        <f>[11]Summary!AA14</f>
        <v>18100</v>
      </c>
      <c r="AB14" s="278">
        <f>'Data Entry'!F96</f>
        <v>5549</v>
      </c>
      <c r="AC14" s="279">
        <f>(AB14-AA14)/AA14</f>
        <v>-0.69342541436464089</v>
      </c>
    </row>
    <row r="15" spans="2:29" x14ac:dyDescent="0.25">
      <c r="B15" s="268" t="s">
        <v>47</v>
      </c>
      <c r="C15" s="274">
        <v>9871</v>
      </c>
      <c r="D15" s="274">
        <v>12524</v>
      </c>
      <c r="E15" s="274">
        <v>14412</v>
      </c>
      <c r="F15" s="274">
        <v>7341</v>
      </c>
      <c r="G15" s="275">
        <v>14282</v>
      </c>
      <c r="H15" s="276">
        <v>13099</v>
      </c>
      <c r="I15" s="276">
        <v>12580</v>
      </c>
      <c r="J15" s="275">
        <v>12939</v>
      </c>
      <c r="K15" s="275">
        <v>11316</v>
      </c>
      <c r="L15" s="277">
        <v>13482</v>
      </c>
      <c r="M15" s="277">
        <v>10808</v>
      </c>
      <c r="N15" s="278">
        <v>12228</v>
      </c>
      <c r="O15" s="278">
        <v>16765</v>
      </c>
      <c r="P15" s="278">
        <v>18046</v>
      </c>
      <c r="Q15" s="278">
        <f>+[2]summary!P7</f>
        <v>20424</v>
      </c>
      <c r="R15" s="278">
        <f>+[3]summary!Q7</f>
        <v>14729</v>
      </c>
      <c r="S15" s="278">
        <f>[4]summary!R7</f>
        <v>11152</v>
      </c>
      <c r="T15" s="278">
        <f>[5]summary!S7</f>
        <v>13152</v>
      </c>
      <c r="U15" s="278">
        <f>[6]summary!T7</f>
        <v>14706</v>
      </c>
      <c r="V15" s="278">
        <f>[7]summary!U7</f>
        <v>14242</v>
      </c>
      <c r="W15" s="278">
        <f>[8]summary!V7</f>
        <v>17732</v>
      </c>
      <c r="X15" s="278">
        <f>[9]summary!W7</f>
        <v>18447</v>
      </c>
      <c r="Y15" s="278">
        <f>[11]Summary!Y15</f>
        <v>20989</v>
      </c>
      <c r="Z15" s="278">
        <f>[11]Summary!Z15</f>
        <v>19582</v>
      </c>
      <c r="AA15" s="278">
        <f>[11]Summary!AA15</f>
        <v>19912</v>
      </c>
      <c r="AB15" s="278"/>
      <c r="AC15" s="279"/>
    </row>
    <row r="16" spans="2:29" x14ac:dyDescent="0.25">
      <c r="B16" s="280" t="s">
        <v>12</v>
      </c>
      <c r="C16" s="281">
        <v>31622</v>
      </c>
      <c r="D16" s="281">
        <v>36841</v>
      </c>
      <c r="E16" s="281">
        <v>42322</v>
      </c>
      <c r="F16" s="281">
        <v>22336</v>
      </c>
      <c r="G16" s="281">
        <v>37486</v>
      </c>
      <c r="H16" s="281">
        <v>38627</v>
      </c>
      <c r="I16" s="281">
        <v>34588</v>
      </c>
      <c r="J16" s="281">
        <v>33637</v>
      </c>
      <c r="K16" s="281">
        <v>34596</v>
      </c>
      <c r="L16" s="281">
        <v>33045</v>
      </c>
      <c r="M16" s="281">
        <v>30165</v>
      </c>
      <c r="N16" s="281">
        <v>34532</v>
      </c>
      <c r="O16" s="281">
        <v>44388</v>
      </c>
      <c r="P16" s="281">
        <v>48885</v>
      </c>
      <c r="Q16" s="281">
        <f t="shared" ref="Q16:W16" si="0">SUM(Q13:Q15)</f>
        <v>53571</v>
      </c>
      <c r="R16" s="281">
        <f t="shared" si="0"/>
        <v>39614</v>
      </c>
      <c r="S16" s="281">
        <f t="shared" si="0"/>
        <v>31249</v>
      </c>
      <c r="T16" s="281">
        <f t="shared" si="0"/>
        <v>35691</v>
      </c>
      <c r="U16" s="281">
        <f t="shared" si="0"/>
        <v>38340</v>
      </c>
      <c r="V16" s="281">
        <f t="shared" si="0"/>
        <v>40769</v>
      </c>
      <c r="W16" s="281">
        <f t="shared" si="0"/>
        <v>46563</v>
      </c>
      <c r="X16" s="281">
        <f>[9]summary!W8</f>
        <v>51984</v>
      </c>
      <c r="Y16" s="281">
        <f>[11]Summary!Y16</f>
        <v>58702</v>
      </c>
      <c r="Z16" s="281">
        <f>[11]Summary!Z16</f>
        <v>54369</v>
      </c>
      <c r="AA16" s="281">
        <f>[11]Summary!AA16</f>
        <v>56126</v>
      </c>
      <c r="AB16" s="281">
        <f>SUM(AB13:AB15)</f>
        <v>10533</v>
      </c>
      <c r="AC16" s="283"/>
    </row>
    <row r="17" spans="2:29" x14ac:dyDescent="0.25">
      <c r="B17" s="268" t="s">
        <v>48</v>
      </c>
      <c r="C17" s="274">
        <v>10923</v>
      </c>
      <c r="D17" s="274">
        <v>11274</v>
      </c>
      <c r="E17" s="274">
        <v>13279</v>
      </c>
      <c r="F17" s="274">
        <v>8086</v>
      </c>
      <c r="G17" s="275">
        <v>9396</v>
      </c>
      <c r="H17" s="276">
        <v>11525</v>
      </c>
      <c r="I17" s="276">
        <v>10803</v>
      </c>
      <c r="J17" s="275">
        <v>11857</v>
      </c>
      <c r="K17" s="275">
        <v>11694</v>
      </c>
      <c r="L17" s="277">
        <v>10903</v>
      </c>
      <c r="M17" s="277">
        <v>9736</v>
      </c>
      <c r="N17" s="278">
        <v>12292</v>
      </c>
      <c r="O17" s="278">
        <v>13792</v>
      </c>
      <c r="P17" s="278">
        <v>18483</v>
      </c>
      <c r="Q17" s="278">
        <f>+[2]summary!P9</f>
        <v>17990</v>
      </c>
      <c r="R17" s="278">
        <f>+[3]summary!Q9</f>
        <v>11998</v>
      </c>
      <c r="S17" s="278">
        <f>[4]summary!R9</f>
        <v>11553</v>
      </c>
      <c r="T17" s="278">
        <f>[5]summary!S9</f>
        <v>11605</v>
      </c>
      <c r="U17" s="278">
        <f>[6]summary!T9</f>
        <v>12797</v>
      </c>
      <c r="V17" s="278">
        <f>[7]summary!U9</f>
        <v>12595</v>
      </c>
      <c r="W17" s="278">
        <f>[8]summary!V9</f>
        <v>13787</v>
      </c>
      <c r="X17" s="278">
        <f>[9]summary!W9</f>
        <v>17923</v>
      </c>
      <c r="Y17" s="278">
        <f>[11]Summary!Y17</f>
        <v>18833</v>
      </c>
      <c r="Z17" s="278">
        <f>[11]Summary!Z17</f>
        <v>15746</v>
      </c>
      <c r="AA17" s="278">
        <f>[11]Summary!AA17</f>
        <v>19618</v>
      </c>
      <c r="AB17" s="278"/>
      <c r="AC17" s="279"/>
    </row>
    <row r="18" spans="2:29" x14ac:dyDescent="0.25">
      <c r="B18" s="268" t="s">
        <v>14</v>
      </c>
      <c r="C18" s="274">
        <v>8296</v>
      </c>
      <c r="D18" s="274">
        <v>9243</v>
      </c>
      <c r="E18" s="274">
        <v>9472</v>
      </c>
      <c r="F18" s="274">
        <v>7473</v>
      </c>
      <c r="G18" s="275">
        <v>8869</v>
      </c>
      <c r="H18" s="276">
        <v>9867</v>
      </c>
      <c r="I18" s="276">
        <v>8630</v>
      </c>
      <c r="J18" s="275">
        <v>9504</v>
      </c>
      <c r="K18" s="275">
        <v>8914</v>
      </c>
      <c r="L18" s="277">
        <v>9841</v>
      </c>
      <c r="M18" s="277">
        <v>10016</v>
      </c>
      <c r="N18" s="278">
        <v>9683</v>
      </c>
      <c r="O18" s="278">
        <v>10861</v>
      </c>
      <c r="P18" s="278">
        <v>13835</v>
      </c>
      <c r="Q18" s="278">
        <f>+[2]summary!P10</f>
        <v>13980</v>
      </c>
      <c r="R18" s="278">
        <f>+[3]summary!Q10</f>
        <v>12122</v>
      </c>
      <c r="S18" s="278">
        <f>[4]summary!R10</f>
        <v>9005</v>
      </c>
      <c r="T18" s="278">
        <f>[5]summary!S10</f>
        <v>9723</v>
      </c>
      <c r="U18" s="278">
        <f>[6]summary!T10</f>
        <v>10160</v>
      </c>
      <c r="V18" s="278">
        <f>[7]summary!U10</f>
        <v>10344</v>
      </c>
      <c r="W18" s="278">
        <f>[8]summary!V10</f>
        <v>11736</v>
      </c>
      <c r="X18" s="278">
        <f>[9]summary!W10</f>
        <v>13609</v>
      </c>
      <c r="Y18" s="278">
        <f>[11]Summary!Y18</f>
        <v>13506</v>
      </c>
      <c r="Z18" s="278">
        <f>[11]Summary!Z18</f>
        <v>13232</v>
      </c>
      <c r="AA18" s="278">
        <f>[11]Summary!AA18</f>
        <v>14339</v>
      </c>
      <c r="AB18" s="278"/>
      <c r="AC18" s="279"/>
    </row>
    <row r="19" spans="2:29" x14ac:dyDescent="0.25">
      <c r="B19" s="268" t="s">
        <v>49</v>
      </c>
      <c r="C19" s="274">
        <v>7048</v>
      </c>
      <c r="D19" s="274">
        <v>7650</v>
      </c>
      <c r="E19" s="274">
        <v>8794</v>
      </c>
      <c r="F19" s="274">
        <v>5810</v>
      </c>
      <c r="G19" s="275">
        <v>6966</v>
      </c>
      <c r="H19" s="276">
        <v>7600</v>
      </c>
      <c r="I19" s="276">
        <v>7833</v>
      </c>
      <c r="J19" s="275">
        <v>9183</v>
      </c>
      <c r="K19" s="275">
        <v>8003</v>
      </c>
      <c r="L19" s="277">
        <v>8004</v>
      </c>
      <c r="M19" s="277">
        <v>7725</v>
      </c>
      <c r="N19" s="278">
        <v>8240</v>
      </c>
      <c r="O19" s="278">
        <v>9700</v>
      </c>
      <c r="P19" s="278">
        <v>12780</v>
      </c>
      <c r="Q19" s="278">
        <f>+[2]summary!P11</f>
        <v>12971</v>
      </c>
      <c r="R19" s="278">
        <f>+[3]summary!Q11</f>
        <v>10027</v>
      </c>
      <c r="S19" s="278">
        <f>[4]summary!R11</f>
        <v>8822</v>
      </c>
      <c r="T19" s="278">
        <f>[5]summary!S11</f>
        <v>8626</v>
      </c>
      <c r="U19" s="278">
        <f>[6]summary!T11</f>
        <v>9024</v>
      </c>
      <c r="V19" s="278">
        <f>[7]summary!U11</f>
        <v>9246</v>
      </c>
      <c r="W19" s="278">
        <f>[8]summary!V11</f>
        <v>11117</v>
      </c>
      <c r="X19" s="278">
        <f>[9]summary!W11</f>
        <v>13315</v>
      </c>
      <c r="Y19" s="278">
        <f>[11]Summary!Y19</f>
        <v>13519</v>
      </c>
      <c r="Z19" s="278">
        <f>[11]Summary!Z19</f>
        <v>13500</v>
      </c>
      <c r="AA19" s="278">
        <f>[11]Summary!AA19</f>
        <v>15845</v>
      </c>
      <c r="AB19" s="278"/>
      <c r="AC19" s="279"/>
    </row>
    <row r="20" spans="2:29" x14ac:dyDescent="0.25">
      <c r="B20" s="280" t="s">
        <v>16</v>
      </c>
      <c r="C20" s="281">
        <v>26267</v>
      </c>
      <c r="D20" s="281">
        <v>28167</v>
      </c>
      <c r="E20" s="281">
        <v>31545</v>
      </c>
      <c r="F20" s="281">
        <v>21369</v>
      </c>
      <c r="G20" s="281">
        <v>25231</v>
      </c>
      <c r="H20" s="281">
        <v>28992</v>
      </c>
      <c r="I20" s="281">
        <v>27266</v>
      </c>
      <c r="J20" s="281">
        <v>30544</v>
      </c>
      <c r="K20" s="281">
        <v>28611</v>
      </c>
      <c r="L20" s="281">
        <v>28748</v>
      </c>
      <c r="M20" s="281">
        <v>27477</v>
      </c>
      <c r="N20" s="281">
        <v>30215</v>
      </c>
      <c r="O20" s="281">
        <v>34353</v>
      </c>
      <c r="P20" s="281">
        <v>45098</v>
      </c>
      <c r="Q20" s="281">
        <f t="shared" ref="Q20:W20" si="1">SUM(Q17:Q19)</f>
        <v>44941</v>
      </c>
      <c r="R20" s="281">
        <f t="shared" si="1"/>
        <v>34147</v>
      </c>
      <c r="S20" s="281">
        <f t="shared" si="1"/>
        <v>29380</v>
      </c>
      <c r="T20" s="281">
        <f t="shared" si="1"/>
        <v>29954</v>
      </c>
      <c r="U20" s="281">
        <f t="shared" si="1"/>
        <v>31981</v>
      </c>
      <c r="V20" s="281">
        <f t="shared" si="1"/>
        <v>32185</v>
      </c>
      <c r="W20" s="281">
        <f t="shared" si="1"/>
        <v>36640</v>
      </c>
      <c r="X20" s="281">
        <f>[9]summary!W12</f>
        <v>44847</v>
      </c>
      <c r="Y20" s="281">
        <f>[11]Summary!Y20</f>
        <v>45858</v>
      </c>
      <c r="Z20" s="281">
        <f>[11]Summary!Z20</f>
        <v>42478</v>
      </c>
      <c r="AA20" s="281">
        <f>[11]Summary!AA20</f>
        <v>49802</v>
      </c>
      <c r="AB20" s="281"/>
      <c r="AC20" s="283"/>
    </row>
    <row r="21" spans="2:29" x14ac:dyDescent="0.25">
      <c r="B21" s="268" t="s">
        <v>50</v>
      </c>
      <c r="C21" s="274">
        <v>9190</v>
      </c>
      <c r="D21" s="274">
        <v>10271</v>
      </c>
      <c r="E21" s="274">
        <v>9914</v>
      </c>
      <c r="F21" s="274">
        <v>6193</v>
      </c>
      <c r="G21" s="275">
        <v>9383</v>
      </c>
      <c r="H21" s="276">
        <v>9344</v>
      </c>
      <c r="I21" s="276">
        <v>9409</v>
      </c>
      <c r="J21" s="275">
        <v>9747</v>
      </c>
      <c r="K21" s="275">
        <v>8919</v>
      </c>
      <c r="L21" s="277">
        <v>9835</v>
      </c>
      <c r="M21" s="277">
        <v>11020</v>
      </c>
      <c r="N21" s="278">
        <v>11169</v>
      </c>
      <c r="O21" s="278">
        <v>13114</v>
      </c>
      <c r="P21" s="278">
        <v>14391</v>
      </c>
      <c r="Q21" s="278">
        <f>+[2]summary!P13</f>
        <v>15524</v>
      </c>
      <c r="R21" s="278">
        <f>+[3]summary!Q13</f>
        <v>12372</v>
      </c>
      <c r="S21" s="278">
        <f>[4]summary!R13</f>
        <v>11536</v>
      </c>
      <c r="T21" s="278">
        <f>[5]summary!S13</f>
        <v>11307</v>
      </c>
      <c r="U21" s="278">
        <f>[6]summary!T13</f>
        <v>12702</v>
      </c>
      <c r="V21" s="278">
        <f>[7]summary!U13</f>
        <v>11282</v>
      </c>
      <c r="W21" s="278">
        <f>[8]summary!V13</f>
        <v>13497</v>
      </c>
      <c r="X21" s="278">
        <f>[9]summary!W13</f>
        <v>16098</v>
      </c>
      <c r="Y21" s="278">
        <f>[11]Summary!Y21</f>
        <v>18482</v>
      </c>
      <c r="Z21" s="278">
        <f>[11]Summary!Z21</f>
        <v>18913</v>
      </c>
      <c r="AA21" s="278">
        <f>[11]Summary!AA21</f>
        <v>19092</v>
      </c>
      <c r="AB21" s="278"/>
      <c r="AC21" s="279"/>
    </row>
    <row r="22" spans="2:29" x14ac:dyDescent="0.25">
      <c r="B22" s="268" t="s">
        <v>51</v>
      </c>
      <c r="C22" s="274">
        <v>10622</v>
      </c>
      <c r="D22" s="274">
        <v>12180</v>
      </c>
      <c r="E22" s="274">
        <v>12299</v>
      </c>
      <c r="F22" s="274">
        <v>8600</v>
      </c>
      <c r="G22" s="275">
        <v>10497</v>
      </c>
      <c r="H22" s="276">
        <v>10448</v>
      </c>
      <c r="I22" s="276">
        <v>11777</v>
      </c>
      <c r="J22" s="275">
        <v>10350</v>
      </c>
      <c r="K22" s="275">
        <v>9710</v>
      </c>
      <c r="L22" s="277">
        <v>11132</v>
      </c>
      <c r="M22" s="277">
        <v>11947</v>
      </c>
      <c r="N22" s="278">
        <v>12641</v>
      </c>
      <c r="O22" s="278">
        <v>11548</v>
      </c>
      <c r="P22" s="278">
        <v>14957</v>
      </c>
      <c r="Q22" s="278">
        <f>+[2]summary!P14</f>
        <v>15721</v>
      </c>
      <c r="R22" s="278">
        <f>+[3]summary!Q14</f>
        <v>12508</v>
      </c>
      <c r="S22" s="278">
        <f>[4]summary!R14</f>
        <v>10084</v>
      </c>
      <c r="T22" s="278">
        <f>[5]summary!S14</f>
        <v>10936</v>
      </c>
      <c r="U22" s="278">
        <f>[6]summary!T14</f>
        <v>9161</v>
      </c>
      <c r="V22" s="278">
        <f>[7]summary!U14</f>
        <v>12380</v>
      </c>
      <c r="W22" s="278">
        <f>[8]summary!V14</f>
        <v>14974</v>
      </c>
      <c r="X22" s="278">
        <f>[9]summary!W14</f>
        <v>16210</v>
      </c>
      <c r="Y22" s="278">
        <f>[11]Summary!Y22</f>
        <v>17319</v>
      </c>
      <c r="Z22" s="278">
        <f>[11]Summary!Z22</f>
        <v>15608</v>
      </c>
      <c r="AA22" s="278">
        <f>[11]Summary!AA22</f>
        <v>17588</v>
      </c>
      <c r="AB22" s="278"/>
      <c r="AC22" s="279"/>
    </row>
    <row r="23" spans="2:29" x14ac:dyDescent="0.25">
      <c r="B23" s="268" t="s">
        <v>19</v>
      </c>
      <c r="C23" s="274">
        <v>5600</v>
      </c>
      <c r="D23" s="274">
        <v>6398</v>
      </c>
      <c r="E23" s="274">
        <v>1702</v>
      </c>
      <c r="F23" s="274">
        <v>3642</v>
      </c>
      <c r="G23" s="275">
        <v>3804</v>
      </c>
      <c r="H23" s="276">
        <v>3840</v>
      </c>
      <c r="I23" s="276">
        <v>4873</v>
      </c>
      <c r="J23" s="275">
        <v>3661</v>
      </c>
      <c r="K23" s="275">
        <v>3241</v>
      </c>
      <c r="L23" s="277">
        <v>3767</v>
      </c>
      <c r="M23" s="277">
        <v>3482</v>
      </c>
      <c r="N23" s="278">
        <v>4165</v>
      </c>
      <c r="O23" s="278">
        <v>5084</v>
      </c>
      <c r="P23" s="278">
        <v>6067</v>
      </c>
      <c r="Q23" s="278">
        <f>+[2]summary!P15</f>
        <v>5547</v>
      </c>
      <c r="R23" s="278">
        <f>+[3]summary!Q15</f>
        <v>4056</v>
      </c>
      <c r="S23" s="278">
        <f>[4]summary!R15</f>
        <v>3815</v>
      </c>
      <c r="T23" s="278">
        <f>[5]summary!S15</f>
        <v>3865</v>
      </c>
      <c r="U23" s="278">
        <f>[6]summary!T15</f>
        <v>3637</v>
      </c>
      <c r="V23" s="278">
        <f>[7]summary!U15</f>
        <v>4344</v>
      </c>
      <c r="W23" s="278">
        <f>[8]summary!V15</f>
        <v>4479</v>
      </c>
      <c r="X23" s="278">
        <f>[9]summary!W15</f>
        <v>5956</v>
      </c>
      <c r="Y23" s="278">
        <f>[11]Summary!Y23</f>
        <v>5987</v>
      </c>
      <c r="Z23" s="278">
        <f>[11]Summary!Z23</f>
        <v>5478</v>
      </c>
      <c r="AA23" s="278">
        <f>[11]Summary!AA23</f>
        <v>653</v>
      </c>
      <c r="AB23" s="278"/>
      <c r="AC23" s="279"/>
    </row>
    <row r="24" spans="2:29" x14ac:dyDescent="0.25">
      <c r="B24" s="280" t="s">
        <v>20</v>
      </c>
      <c r="C24" s="281">
        <v>25412</v>
      </c>
      <c r="D24" s="281">
        <v>28849</v>
      </c>
      <c r="E24" s="281">
        <v>23915</v>
      </c>
      <c r="F24" s="281">
        <v>18435</v>
      </c>
      <c r="G24" s="281">
        <v>23684</v>
      </c>
      <c r="H24" s="281">
        <v>23632</v>
      </c>
      <c r="I24" s="281">
        <v>26059</v>
      </c>
      <c r="J24" s="281">
        <v>23758</v>
      </c>
      <c r="K24" s="281">
        <v>21870</v>
      </c>
      <c r="L24" s="281">
        <v>24734</v>
      </c>
      <c r="M24" s="281">
        <v>26449</v>
      </c>
      <c r="N24" s="281">
        <v>27975</v>
      </c>
      <c r="O24" s="281">
        <v>29746</v>
      </c>
      <c r="P24" s="281">
        <v>35415</v>
      </c>
      <c r="Q24" s="281">
        <f t="shared" ref="Q24:W24" si="2">SUM(Q21:Q23)</f>
        <v>36792</v>
      </c>
      <c r="R24" s="281">
        <f t="shared" si="2"/>
        <v>28936</v>
      </c>
      <c r="S24" s="281">
        <f t="shared" si="2"/>
        <v>25435</v>
      </c>
      <c r="T24" s="281">
        <f t="shared" si="2"/>
        <v>26108</v>
      </c>
      <c r="U24" s="281">
        <f t="shared" si="2"/>
        <v>25500</v>
      </c>
      <c r="V24" s="281">
        <f t="shared" si="2"/>
        <v>28006</v>
      </c>
      <c r="W24" s="281">
        <f t="shared" si="2"/>
        <v>32950</v>
      </c>
      <c r="X24" s="281">
        <f>[9]summary!W16</f>
        <v>38264</v>
      </c>
      <c r="Y24" s="281">
        <f>[11]Summary!Y24</f>
        <v>41788</v>
      </c>
      <c r="Z24" s="281">
        <f>[11]Summary!Z24</f>
        <v>39999</v>
      </c>
      <c r="AA24" s="281">
        <f>[11]Summary!AA24</f>
        <v>37333</v>
      </c>
      <c r="AB24" s="281"/>
      <c r="AC24" s="283"/>
    </row>
    <row r="25" spans="2:29" x14ac:dyDescent="0.25">
      <c r="B25" s="268" t="s">
        <v>21</v>
      </c>
      <c r="C25" s="274">
        <v>7379</v>
      </c>
      <c r="D25" s="274">
        <v>8770</v>
      </c>
      <c r="E25" s="274">
        <v>1694</v>
      </c>
      <c r="F25" s="274">
        <v>5983</v>
      </c>
      <c r="G25" s="275">
        <v>6769</v>
      </c>
      <c r="H25" s="276">
        <v>6138</v>
      </c>
      <c r="I25" s="276">
        <v>5801</v>
      </c>
      <c r="J25" s="275">
        <v>5302</v>
      </c>
      <c r="K25" s="275">
        <v>4354</v>
      </c>
      <c r="L25" s="277">
        <v>5850</v>
      </c>
      <c r="M25" s="277">
        <v>5447</v>
      </c>
      <c r="N25" s="278">
        <v>5134</v>
      </c>
      <c r="O25" s="278">
        <v>6177</v>
      </c>
      <c r="P25" s="278">
        <v>7295</v>
      </c>
      <c r="Q25" s="278">
        <f>+[2]summary!P17</f>
        <v>6441</v>
      </c>
      <c r="R25" s="278">
        <f>+[3]summary!Q17</f>
        <v>5192</v>
      </c>
      <c r="S25" s="278">
        <f>[4]summary!R17</f>
        <v>6117</v>
      </c>
      <c r="T25" s="278">
        <f>[5]summary!S17</f>
        <v>5619</v>
      </c>
      <c r="U25" s="278">
        <f>[6]summary!T17</f>
        <v>5498</v>
      </c>
      <c r="V25" s="278">
        <f>[7]summary!U17</f>
        <v>6001</v>
      </c>
      <c r="W25" s="278">
        <f>[8]summary!V17</f>
        <v>6579</v>
      </c>
      <c r="X25" s="278">
        <f>[9]summary!W17</f>
        <v>7134</v>
      </c>
      <c r="Y25" s="278">
        <f>[11]Summary!Y25</f>
        <v>7767</v>
      </c>
      <c r="Z25" s="278">
        <f>[11]Summary!Z25</f>
        <v>8635</v>
      </c>
      <c r="AA25" s="278">
        <f>[11]Summary!AA25</f>
        <v>833</v>
      </c>
      <c r="AB25" s="278"/>
      <c r="AC25" s="279"/>
    </row>
    <row r="26" spans="2:29" x14ac:dyDescent="0.25">
      <c r="B26" s="268" t="s">
        <v>22</v>
      </c>
      <c r="C26" s="274">
        <v>9550</v>
      </c>
      <c r="D26" s="274">
        <v>10846</v>
      </c>
      <c r="E26" s="274">
        <v>2764</v>
      </c>
      <c r="F26" s="274">
        <v>8331</v>
      </c>
      <c r="G26" s="275">
        <v>9627</v>
      </c>
      <c r="H26" s="276">
        <v>7192</v>
      </c>
      <c r="I26" s="276">
        <v>5592</v>
      </c>
      <c r="J26" s="275">
        <v>8259</v>
      </c>
      <c r="K26" s="275">
        <v>7103</v>
      </c>
      <c r="L26" s="277">
        <v>8445</v>
      </c>
      <c r="M26" s="277">
        <v>8244</v>
      </c>
      <c r="N26" s="278">
        <v>9774</v>
      </c>
      <c r="O26" s="278">
        <v>12335</v>
      </c>
      <c r="P26" s="278">
        <f>'[1]data entry'!F105</f>
        <v>14010</v>
      </c>
      <c r="Q26" s="278">
        <f>+[2]summary!P18</f>
        <v>9823</v>
      </c>
      <c r="R26" s="278">
        <f>+[3]summary!Q18</f>
        <v>9540</v>
      </c>
      <c r="S26" s="278">
        <f>[4]summary!R18</f>
        <v>8492</v>
      </c>
      <c r="T26" s="278">
        <f>[5]summary!S18</f>
        <v>9075</v>
      </c>
      <c r="U26" s="278">
        <f>[6]summary!T18</f>
        <v>9966</v>
      </c>
      <c r="V26" s="278">
        <f>[7]summary!U18</f>
        <v>8866</v>
      </c>
      <c r="W26" s="278">
        <f>[8]summary!V18</f>
        <v>11936</v>
      </c>
      <c r="X26" s="278">
        <f>[9]summary!W18</f>
        <v>13590</v>
      </c>
      <c r="Y26" s="278">
        <f>[11]Summary!Y26</f>
        <v>13927</v>
      </c>
      <c r="Z26" s="278">
        <f>[11]Summary!Z26</f>
        <v>12988</v>
      </c>
      <c r="AA26" s="278">
        <f>[11]Summary!AA26</f>
        <v>2352</v>
      </c>
      <c r="AB26" s="278"/>
      <c r="AC26" s="279"/>
    </row>
    <row r="27" spans="2:29" x14ac:dyDescent="0.25">
      <c r="B27" s="268" t="s">
        <v>23</v>
      </c>
      <c r="C27" s="274">
        <v>11120</v>
      </c>
      <c r="D27" s="274">
        <v>12307</v>
      </c>
      <c r="E27" s="274">
        <v>4846</v>
      </c>
      <c r="F27" s="274">
        <v>9785</v>
      </c>
      <c r="G27" s="275">
        <v>11068</v>
      </c>
      <c r="H27" s="276">
        <v>9215</v>
      </c>
      <c r="I27" s="276">
        <v>7423</v>
      </c>
      <c r="J27" s="275">
        <v>10969</v>
      </c>
      <c r="K27" s="275">
        <v>8440</v>
      </c>
      <c r="L27" s="277">
        <v>10296</v>
      </c>
      <c r="M27" s="277">
        <v>11500</v>
      </c>
      <c r="N27" s="278">
        <v>13158</v>
      </c>
      <c r="O27" s="278">
        <v>16187</v>
      </c>
      <c r="P27" s="278">
        <f>+[1]summary!$O$19</f>
        <v>16542</v>
      </c>
      <c r="Q27" s="278">
        <f>+[2]summary!P19</f>
        <v>12499</v>
      </c>
      <c r="R27" s="278">
        <f>+[3]summary!Q19</f>
        <v>10432</v>
      </c>
      <c r="S27" s="278">
        <f>[4]summary!R19</f>
        <v>11442</v>
      </c>
      <c r="T27" s="278">
        <f>[5]summary!S19</f>
        <v>11964</v>
      </c>
      <c r="U27" s="278">
        <f>[6]summary!T19</f>
        <v>12273</v>
      </c>
      <c r="V27" s="278">
        <f>[7]summary!U19</f>
        <v>13564</v>
      </c>
      <c r="W27" s="278">
        <f>[8]summary!V19</f>
        <v>16635</v>
      </c>
      <c r="X27" s="278">
        <f>[9]summary!W19</f>
        <v>20961</v>
      </c>
      <c r="Y27" s="278">
        <f>[11]Summary!Y27</f>
        <v>18026</v>
      </c>
      <c r="Z27" s="278">
        <f>[11]Summary!Z27</f>
        <v>17501</v>
      </c>
      <c r="AA27" s="278">
        <f>[11]Summary!AA27</f>
        <v>4232</v>
      </c>
      <c r="AB27" s="278"/>
      <c r="AC27" s="279"/>
    </row>
    <row r="28" spans="2:29" x14ac:dyDescent="0.25">
      <c r="B28" s="280" t="s">
        <v>24</v>
      </c>
      <c r="C28" s="281">
        <v>28049</v>
      </c>
      <c r="D28" s="281">
        <v>31923</v>
      </c>
      <c r="E28" s="281">
        <v>9304</v>
      </c>
      <c r="F28" s="281">
        <v>24099</v>
      </c>
      <c r="G28" s="281">
        <v>27464</v>
      </c>
      <c r="H28" s="281">
        <v>22545</v>
      </c>
      <c r="I28" s="281">
        <v>18816</v>
      </c>
      <c r="J28" s="281">
        <v>24530</v>
      </c>
      <c r="K28" s="281">
        <v>19897</v>
      </c>
      <c r="L28" s="281">
        <v>24591</v>
      </c>
      <c r="M28" s="281">
        <v>25191</v>
      </c>
      <c r="N28" s="281">
        <v>28066</v>
      </c>
      <c r="O28" s="281">
        <v>34699</v>
      </c>
      <c r="P28" s="281">
        <f t="shared" ref="P28:V28" si="3">SUM(P25:P27)</f>
        <v>37847</v>
      </c>
      <c r="Q28" s="281">
        <f t="shared" si="3"/>
        <v>28763</v>
      </c>
      <c r="R28" s="281">
        <f t="shared" si="3"/>
        <v>25164</v>
      </c>
      <c r="S28" s="281">
        <f t="shared" si="3"/>
        <v>26051</v>
      </c>
      <c r="T28" s="281">
        <f t="shared" si="3"/>
        <v>26658</v>
      </c>
      <c r="U28" s="281">
        <f t="shared" si="3"/>
        <v>27737</v>
      </c>
      <c r="V28" s="281">
        <f t="shared" si="3"/>
        <v>28431</v>
      </c>
      <c r="W28" s="281">
        <f>SUM(W25:W27)</f>
        <v>35150</v>
      </c>
      <c r="X28" s="281">
        <f>[9]summary!W20</f>
        <v>41685</v>
      </c>
      <c r="Y28" s="281">
        <f>[11]Summary!Y28</f>
        <v>39720</v>
      </c>
      <c r="Z28" s="281">
        <f>[11]Summary!Z28</f>
        <v>39124</v>
      </c>
      <c r="AA28" s="281">
        <f>[11]Summary!AA28</f>
        <v>7417</v>
      </c>
      <c r="AB28" s="281"/>
      <c r="AC28" s="283"/>
    </row>
    <row r="29" spans="2:29" ht="16.5" thickBot="1" x14ac:dyDescent="0.3">
      <c r="B29" s="284" t="s">
        <v>7</v>
      </c>
      <c r="C29" s="285">
        <v>111350</v>
      </c>
      <c r="D29" s="285">
        <v>125780</v>
      </c>
      <c r="E29" s="285">
        <v>107086</v>
      </c>
      <c r="F29" s="285">
        <v>86239</v>
      </c>
      <c r="G29" s="285">
        <v>113865</v>
      </c>
      <c r="H29" s="285">
        <v>113796</v>
      </c>
      <c r="I29" s="285">
        <v>106729</v>
      </c>
      <c r="J29" s="285">
        <v>112469</v>
      </c>
      <c r="K29" s="285">
        <v>104974</v>
      </c>
      <c r="L29" s="285">
        <v>111118</v>
      </c>
      <c r="M29" s="285">
        <v>109282</v>
      </c>
      <c r="N29" s="285">
        <v>120788</v>
      </c>
      <c r="O29" s="285">
        <v>143186</v>
      </c>
      <c r="P29" s="285">
        <f>P28+P24+P20+P16</f>
        <v>167245</v>
      </c>
      <c r="Q29" s="285">
        <f>Q16+Q20+Q24+Q28</f>
        <v>164067</v>
      </c>
      <c r="R29" s="285">
        <f t="shared" ref="R29:W29" si="4">R28+R24+R20+R16</f>
        <v>127861</v>
      </c>
      <c r="S29" s="285">
        <f t="shared" si="4"/>
        <v>112115</v>
      </c>
      <c r="T29" s="285">
        <f t="shared" si="4"/>
        <v>118411</v>
      </c>
      <c r="U29" s="285">
        <f t="shared" si="4"/>
        <v>123558</v>
      </c>
      <c r="V29" s="285">
        <f t="shared" si="4"/>
        <v>129391</v>
      </c>
      <c r="W29" s="285">
        <f t="shared" si="4"/>
        <v>151303</v>
      </c>
      <c r="X29" s="285">
        <f>[9]summary!W21</f>
        <v>176780</v>
      </c>
      <c r="Y29" s="285">
        <f>[11]Summary!Y29</f>
        <v>186068</v>
      </c>
      <c r="Z29" s="285">
        <f>[11]Summary!Z29</f>
        <v>175970</v>
      </c>
      <c r="AA29" s="285">
        <f>[11]Summary!AA29</f>
        <v>150678</v>
      </c>
      <c r="AB29" s="285">
        <f>AB28+AB24+AB20+AB16</f>
        <v>10533</v>
      </c>
      <c r="AC29" s="286"/>
    </row>
    <row r="30" spans="2:29" x14ac:dyDescent="0.25">
      <c r="B30" s="1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2:29" ht="20.25" x14ac:dyDescent="0.3">
      <c r="B31" s="287" t="s">
        <v>203</v>
      </c>
      <c r="C31" s="259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0"/>
      <c r="W31" s="20"/>
      <c r="X31" s="20"/>
      <c r="Y31" s="20"/>
      <c r="Z31" s="20"/>
      <c r="AA31" s="20"/>
      <c r="AB31" s="20"/>
      <c r="AC31" s="20"/>
    </row>
    <row r="32" spans="2:29" s="263" customFormat="1" ht="24" x14ac:dyDescent="0.2">
      <c r="B32" s="264" t="s">
        <v>25</v>
      </c>
      <c r="C32" s="265">
        <v>1993</v>
      </c>
      <c r="D32" s="265">
        <v>1994</v>
      </c>
      <c r="E32" s="265">
        <v>1995</v>
      </c>
      <c r="F32" s="265">
        <v>1996</v>
      </c>
      <c r="G32" s="265">
        <v>1997</v>
      </c>
      <c r="H32" s="265">
        <v>1998</v>
      </c>
      <c r="I32" s="265">
        <v>1999</v>
      </c>
      <c r="J32" s="266">
        <v>2000</v>
      </c>
      <c r="K32" s="266">
        <v>2001</v>
      </c>
      <c r="L32" s="265">
        <v>2002</v>
      </c>
      <c r="M32" s="265">
        <v>2003</v>
      </c>
      <c r="N32" s="265">
        <v>2004</v>
      </c>
      <c r="O32" s="265">
        <v>2005</v>
      </c>
      <c r="P32" s="265">
        <v>2006</v>
      </c>
      <c r="Q32" s="265">
        <v>2007</v>
      </c>
      <c r="R32" s="265">
        <v>2008</v>
      </c>
      <c r="S32" s="265">
        <v>2009</v>
      </c>
      <c r="T32" s="265">
        <v>2010</v>
      </c>
      <c r="U32" s="265">
        <v>2011</v>
      </c>
      <c r="V32" s="265">
        <v>2012</v>
      </c>
      <c r="W32" s="265">
        <v>2013</v>
      </c>
      <c r="X32" s="265">
        <v>2014</v>
      </c>
      <c r="Y32" s="265">
        <v>2015</v>
      </c>
      <c r="Z32" s="265">
        <v>2016</v>
      </c>
      <c r="AA32" s="265">
        <v>2017</v>
      </c>
      <c r="AB32" s="265">
        <v>2018</v>
      </c>
      <c r="AC32" s="267" t="s">
        <v>218</v>
      </c>
    </row>
    <row r="33" spans="2:29" x14ac:dyDescent="0.25">
      <c r="B33" s="268" t="s">
        <v>9</v>
      </c>
      <c r="C33" s="269">
        <v>3641</v>
      </c>
      <c r="D33" s="269">
        <v>4722</v>
      </c>
      <c r="E33" s="269">
        <v>4674</v>
      </c>
      <c r="F33" s="269">
        <v>3600</v>
      </c>
      <c r="G33" s="270">
        <v>4478</v>
      </c>
      <c r="H33" s="271">
        <v>4987</v>
      </c>
      <c r="I33" s="271">
        <v>4963</v>
      </c>
      <c r="J33" s="270">
        <v>3611</v>
      </c>
      <c r="K33" s="270">
        <v>4504</v>
      </c>
      <c r="L33" s="272">
        <v>3868</v>
      </c>
      <c r="M33" s="272">
        <v>4018</v>
      </c>
      <c r="N33" s="273">
        <v>4580</v>
      </c>
      <c r="O33" s="273">
        <v>5430</v>
      </c>
      <c r="P33" s="273">
        <v>6042</v>
      </c>
      <c r="Q33" s="273">
        <v>7411</v>
      </c>
      <c r="R33" s="273">
        <v>6108</v>
      </c>
      <c r="S33" s="273">
        <v>4958</v>
      </c>
      <c r="T33" s="273">
        <v>5207</v>
      </c>
      <c r="U33" s="273">
        <v>5707</v>
      </c>
      <c r="V33" s="273">
        <v>6342</v>
      </c>
      <c r="W33" s="273">
        <v>6351</v>
      </c>
      <c r="X33" s="273">
        <f>[9]summary!W26</f>
        <v>6644</v>
      </c>
      <c r="Y33" s="273">
        <f>[10]Summary!X26</f>
        <v>6758</v>
      </c>
      <c r="Z33" s="273">
        <f>[11]Summary!Z33</f>
        <v>7280</v>
      </c>
      <c r="AA33" s="273">
        <f>[11]Summary!AA33</f>
        <v>7267</v>
      </c>
      <c r="AB33" s="273">
        <f>'Data Entry'!$F$80</f>
        <v>2804</v>
      </c>
      <c r="AC33" s="279">
        <f>(AB33-AA33)/AA33</f>
        <v>-0.6141461400853172</v>
      </c>
    </row>
    <row r="34" spans="2:29" x14ac:dyDescent="0.25">
      <c r="B34" s="268" t="s">
        <v>10</v>
      </c>
      <c r="C34" s="274">
        <v>3955</v>
      </c>
      <c r="D34" s="274">
        <v>4965</v>
      </c>
      <c r="E34" s="274">
        <v>4876</v>
      </c>
      <c r="F34" s="274">
        <v>3848</v>
      </c>
      <c r="G34" s="275">
        <v>4888</v>
      </c>
      <c r="H34" s="276">
        <v>5178</v>
      </c>
      <c r="I34" s="276">
        <v>5524</v>
      </c>
      <c r="J34" s="275">
        <v>4435</v>
      </c>
      <c r="K34" s="275">
        <v>5552</v>
      </c>
      <c r="L34" s="277">
        <v>4677</v>
      </c>
      <c r="M34" s="277">
        <v>4501</v>
      </c>
      <c r="N34" s="278">
        <v>5563</v>
      </c>
      <c r="O34" s="278">
        <v>6208</v>
      </c>
      <c r="P34" s="278">
        <v>6681</v>
      </c>
      <c r="Q34" s="278">
        <v>7668</v>
      </c>
      <c r="R34" s="278">
        <v>7177</v>
      </c>
      <c r="S34" s="278">
        <v>5489</v>
      </c>
      <c r="T34" s="278">
        <v>5892</v>
      </c>
      <c r="U34" s="278">
        <v>6463</v>
      </c>
      <c r="V34" s="278">
        <v>6762</v>
      </c>
      <c r="W34" s="278">
        <v>6809</v>
      </c>
      <c r="X34" s="278">
        <f>[9]summary!W27</f>
        <v>7026</v>
      </c>
      <c r="Y34" s="278">
        <f>[10]Summary!X27</f>
        <v>7395</v>
      </c>
      <c r="Z34" s="278">
        <f>[11]Summary!Z34</f>
        <v>7960</v>
      </c>
      <c r="AA34" s="278">
        <f>[11]Summary!AA34</f>
        <v>7934</v>
      </c>
      <c r="AB34" s="278">
        <f>'Data Entry'!$F$81</f>
        <v>3260</v>
      </c>
      <c r="AC34" s="279">
        <f>(AB34-AA34)/AA34</f>
        <v>-0.58911015881018403</v>
      </c>
    </row>
    <row r="35" spans="2:29" x14ac:dyDescent="0.25">
      <c r="B35" s="268" t="s">
        <v>47</v>
      </c>
      <c r="C35" s="274">
        <v>3579</v>
      </c>
      <c r="D35" s="274">
        <v>4827</v>
      </c>
      <c r="E35" s="274">
        <v>4672</v>
      </c>
      <c r="F35" s="274">
        <v>3589</v>
      </c>
      <c r="G35" s="275">
        <v>5307</v>
      </c>
      <c r="H35" s="276">
        <v>4712</v>
      </c>
      <c r="I35" s="276">
        <v>5908</v>
      </c>
      <c r="J35" s="275">
        <v>4787</v>
      </c>
      <c r="K35" s="275">
        <v>5594</v>
      </c>
      <c r="L35" s="277">
        <v>5702</v>
      </c>
      <c r="M35" s="277">
        <v>4930</v>
      </c>
      <c r="N35" s="278">
        <v>5846</v>
      </c>
      <c r="O35" s="278">
        <v>6997</v>
      </c>
      <c r="P35" s="278">
        <v>7718</v>
      </c>
      <c r="Q35" s="278">
        <v>9895</v>
      </c>
      <c r="R35" s="278">
        <v>8446</v>
      </c>
      <c r="S35" s="278">
        <v>5714</v>
      </c>
      <c r="T35" s="278">
        <v>6969</v>
      </c>
      <c r="U35" s="278">
        <v>7357</v>
      </c>
      <c r="V35" s="278">
        <v>7538</v>
      </c>
      <c r="W35" s="278">
        <v>8342</v>
      </c>
      <c r="X35" s="278">
        <f>[9]summary!W28</f>
        <v>7868</v>
      </c>
      <c r="Y35" s="278">
        <f>[10]Summary!X28</f>
        <v>8683</v>
      </c>
      <c r="Z35" s="278">
        <f>[11]Summary!Z35</f>
        <v>9743</v>
      </c>
      <c r="AA35" s="278">
        <f>[11]Summary!AA35</f>
        <v>9244</v>
      </c>
      <c r="AB35" s="278"/>
      <c r="AC35" s="279"/>
    </row>
    <row r="36" spans="2:29" x14ac:dyDescent="0.25">
      <c r="B36" s="280" t="s">
        <v>12</v>
      </c>
      <c r="C36" s="281">
        <v>11175</v>
      </c>
      <c r="D36" s="281">
        <v>14514</v>
      </c>
      <c r="E36" s="281">
        <v>14222</v>
      </c>
      <c r="F36" s="281">
        <v>11037</v>
      </c>
      <c r="G36" s="281">
        <v>14673</v>
      </c>
      <c r="H36" s="281">
        <v>14877</v>
      </c>
      <c r="I36" s="281">
        <v>16395</v>
      </c>
      <c r="J36" s="281">
        <v>12833</v>
      </c>
      <c r="K36" s="281">
        <v>15650</v>
      </c>
      <c r="L36" s="281">
        <v>14247</v>
      </c>
      <c r="M36" s="281">
        <v>13449</v>
      </c>
      <c r="N36" s="281">
        <v>15989</v>
      </c>
      <c r="O36" s="281">
        <v>18635</v>
      </c>
      <c r="P36" s="281">
        <v>20441</v>
      </c>
      <c r="Q36" s="281">
        <v>24974</v>
      </c>
      <c r="R36" s="281">
        <v>21731</v>
      </c>
      <c r="S36" s="281">
        <v>16161</v>
      </c>
      <c r="T36" s="281">
        <v>18068</v>
      </c>
      <c r="U36" s="281">
        <v>19527</v>
      </c>
      <c r="V36" s="281">
        <v>20642</v>
      </c>
      <c r="W36" s="281">
        <v>21502</v>
      </c>
      <c r="X36" s="281">
        <f>[9]summary!W29</f>
        <v>21538</v>
      </c>
      <c r="Y36" s="281">
        <f>[10]Summary!X29</f>
        <v>22836</v>
      </c>
      <c r="Z36" s="281">
        <f>[11]Summary!Z36</f>
        <v>24983</v>
      </c>
      <c r="AA36" s="281">
        <f>[11]Summary!AA36</f>
        <v>24445</v>
      </c>
      <c r="AB36" s="281">
        <f>SUM(AB33:AB35)</f>
        <v>6064</v>
      </c>
      <c r="AC36" s="283"/>
    </row>
    <row r="37" spans="2:29" x14ac:dyDescent="0.25">
      <c r="B37" s="268" t="s">
        <v>48</v>
      </c>
      <c r="C37" s="274">
        <v>3696</v>
      </c>
      <c r="D37" s="274">
        <v>4572</v>
      </c>
      <c r="E37" s="274">
        <v>4706</v>
      </c>
      <c r="F37" s="274">
        <v>3854</v>
      </c>
      <c r="G37" s="275">
        <v>4056</v>
      </c>
      <c r="H37" s="276">
        <v>4658</v>
      </c>
      <c r="I37" s="276">
        <v>5050</v>
      </c>
      <c r="J37" s="275">
        <v>4821</v>
      </c>
      <c r="K37" s="275">
        <v>6054</v>
      </c>
      <c r="L37" s="277">
        <v>4472</v>
      </c>
      <c r="M37" s="277">
        <v>4787</v>
      </c>
      <c r="N37" s="278">
        <v>6005</v>
      </c>
      <c r="O37" s="278">
        <v>6117</v>
      </c>
      <c r="P37" s="278">
        <v>8392</v>
      </c>
      <c r="Q37" s="278">
        <v>7736</v>
      </c>
      <c r="R37" s="278">
        <v>6442</v>
      </c>
      <c r="S37" s="278">
        <v>5861</v>
      </c>
      <c r="T37" s="278">
        <v>5998</v>
      </c>
      <c r="U37" s="278">
        <v>7230</v>
      </c>
      <c r="V37" s="278">
        <v>6346</v>
      </c>
      <c r="W37" s="278">
        <v>6386</v>
      </c>
      <c r="X37" s="278">
        <f>[9]summary!W30</f>
        <v>7688</v>
      </c>
      <c r="Y37" s="278">
        <f>[10]Summary!X30</f>
        <v>7667</v>
      </c>
      <c r="Z37" s="278">
        <f>[11]Summary!Z37</f>
        <v>7340</v>
      </c>
      <c r="AA37" s="278">
        <f>[11]Summary!AA37</f>
        <v>9664</v>
      </c>
      <c r="AB37" s="278"/>
      <c r="AC37" s="279"/>
    </row>
    <row r="38" spans="2:29" x14ac:dyDescent="0.25">
      <c r="B38" s="268" t="s">
        <v>14</v>
      </c>
      <c r="C38" s="274">
        <v>2900</v>
      </c>
      <c r="D38" s="274">
        <v>3037</v>
      </c>
      <c r="E38" s="274">
        <v>3152</v>
      </c>
      <c r="F38" s="274">
        <v>3030</v>
      </c>
      <c r="G38" s="275">
        <v>3344</v>
      </c>
      <c r="H38" s="276">
        <v>3389</v>
      </c>
      <c r="I38" s="276">
        <v>3744</v>
      </c>
      <c r="J38" s="275">
        <v>3694</v>
      </c>
      <c r="K38" s="275">
        <v>3965</v>
      </c>
      <c r="L38" s="277">
        <v>3783</v>
      </c>
      <c r="M38" s="277">
        <v>3915</v>
      </c>
      <c r="N38" s="278">
        <v>5130</v>
      </c>
      <c r="O38" s="278">
        <v>5588</v>
      </c>
      <c r="P38" s="278">
        <v>6466</v>
      </c>
      <c r="Q38" s="278">
        <v>6907</v>
      </c>
      <c r="R38" s="278">
        <v>6322</v>
      </c>
      <c r="S38" s="278">
        <v>4354</v>
      </c>
      <c r="T38" s="278">
        <v>5286</v>
      </c>
      <c r="U38" s="278">
        <v>6072</v>
      </c>
      <c r="V38" s="278">
        <v>5410</v>
      </c>
      <c r="W38" s="278">
        <v>5961</v>
      </c>
      <c r="X38" s="278">
        <f>[9]summary!W31</f>
        <v>5894</v>
      </c>
      <c r="Y38" s="278">
        <f>[10]Summary!X31</f>
        <v>5797</v>
      </c>
      <c r="Z38" s="278">
        <f>[11]Summary!Z38</f>
        <v>6457</v>
      </c>
      <c r="AA38" s="278">
        <f>[11]Summary!AA38</f>
        <v>7100</v>
      </c>
      <c r="AB38" s="278"/>
      <c r="AC38" s="279"/>
    </row>
    <row r="39" spans="2:29" x14ac:dyDescent="0.25">
      <c r="B39" s="268" t="s">
        <v>49</v>
      </c>
      <c r="C39" s="274">
        <v>2323</v>
      </c>
      <c r="D39" s="274">
        <v>2523</v>
      </c>
      <c r="E39" s="274">
        <v>3287</v>
      </c>
      <c r="F39" s="274">
        <v>2497</v>
      </c>
      <c r="G39" s="275">
        <v>2574</v>
      </c>
      <c r="H39" s="276">
        <v>2825</v>
      </c>
      <c r="I39" s="276">
        <v>3138</v>
      </c>
      <c r="J39" s="275">
        <v>3390</v>
      </c>
      <c r="K39" s="275">
        <v>3498</v>
      </c>
      <c r="L39" s="277">
        <v>2997</v>
      </c>
      <c r="M39" s="277">
        <v>3373</v>
      </c>
      <c r="N39" s="278">
        <v>4001</v>
      </c>
      <c r="O39" s="278">
        <v>4766</v>
      </c>
      <c r="P39" s="278">
        <v>5845</v>
      </c>
      <c r="Q39" s="278">
        <v>6017</v>
      </c>
      <c r="R39" s="278">
        <v>5177</v>
      </c>
      <c r="S39" s="278">
        <v>4340</v>
      </c>
      <c r="T39" s="278">
        <v>4384</v>
      </c>
      <c r="U39" s="278">
        <v>5426</v>
      </c>
      <c r="V39" s="278">
        <v>4791</v>
      </c>
      <c r="W39" s="278">
        <v>5559</v>
      </c>
      <c r="X39" s="278">
        <f>[9]summary!W32</f>
        <v>5296</v>
      </c>
      <c r="Y39" s="278">
        <f>[10]Summary!X32</f>
        <v>5055</v>
      </c>
      <c r="Z39" s="278">
        <f>[11]Summary!Z39</f>
        <v>5588</v>
      </c>
      <c r="AA39" s="278">
        <f>[11]Summary!AA39</f>
        <v>6685</v>
      </c>
      <c r="AB39" s="278"/>
      <c r="AC39" s="279"/>
    </row>
    <row r="40" spans="2:29" x14ac:dyDescent="0.25">
      <c r="B40" s="280" t="s">
        <v>16</v>
      </c>
      <c r="C40" s="281">
        <v>8919</v>
      </c>
      <c r="D40" s="281">
        <v>10132</v>
      </c>
      <c r="E40" s="281">
        <v>11145</v>
      </c>
      <c r="F40" s="281">
        <v>9381</v>
      </c>
      <c r="G40" s="281">
        <v>9974</v>
      </c>
      <c r="H40" s="281">
        <v>10872</v>
      </c>
      <c r="I40" s="281">
        <v>11932</v>
      </c>
      <c r="J40" s="281">
        <v>11905</v>
      </c>
      <c r="K40" s="281">
        <v>13517</v>
      </c>
      <c r="L40" s="281">
        <v>11252</v>
      </c>
      <c r="M40" s="281">
        <v>12075</v>
      </c>
      <c r="N40" s="281">
        <v>15136</v>
      </c>
      <c r="O40" s="281">
        <v>16471</v>
      </c>
      <c r="P40" s="281">
        <v>20703</v>
      </c>
      <c r="Q40" s="281">
        <v>20660</v>
      </c>
      <c r="R40" s="281">
        <v>17941</v>
      </c>
      <c r="S40" s="281">
        <v>14555</v>
      </c>
      <c r="T40" s="281">
        <v>15668</v>
      </c>
      <c r="U40" s="281">
        <v>18728</v>
      </c>
      <c r="V40" s="281">
        <v>16547</v>
      </c>
      <c r="W40" s="281">
        <v>17906</v>
      </c>
      <c r="X40" s="281">
        <f>[9]summary!W33</f>
        <v>18878</v>
      </c>
      <c r="Y40" s="281">
        <f>[10]Summary!X33</f>
        <v>18519</v>
      </c>
      <c r="Z40" s="281">
        <f>[11]Summary!Z40</f>
        <v>19385</v>
      </c>
      <c r="AA40" s="281">
        <f>[11]Summary!AA40</f>
        <v>23449</v>
      </c>
      <c r="AB40" s="281"/>
      <c r="AC40" s="283"/>
    </row>
    <row r="41" spans="2:29" x14ac:dyDescent="0.25">
      <c r="B41" s="268" t="s">
        <v>50</v>
      </c>
      <c r="C41" s="274">
        <v>3096</v>
      </c>
      <c r="D41" s="274">
        <v>3482</v>
      </c>
      <c r="E41" s="274">
        <v>3311</v>
      </c>
      <c r="F41" s="274">
        <v>2869</v>
      </c>
      <c r="G41" s="275">
        <v>3456</v>
      </c>
      <c r="H41" s="276">
        <v>3590</v>
      </c>
      <c r="I41" s="276">
        <v>4034</v>
      </c>
      <c r="J41" s="275">
        <v>3836</v>
      </c>
      <c r="K41" s="275">
        <v>4295</v>
      </c>
      <c r="L41" s="277">
        <v>3771</v>
      </c>
      <c r="M41" s="277">
        <v>4542</v>
      </c>
      <c r="N41" s="278">
        <v>5485</v>
      </c>
      <c r="O41" s="278">
        <v>6093</v>
      </c>
      <c r="P41" s="278">
        <v>6588</v>
      </c>
      <c r="Q41" s="278">
        <v>6936</v>
      </c>
      <c r="R41" s="278">
        <v>6964</v>
      </c>
      <c r="S41" s="278">
        <v>5537</v>
      </c>
      <c r="T41" s="278">
        <v>6398</v>
      </c>
      <c r="U41" s="278">
        <v>6682</v>
      </c>
      <c r="V41" s="278">
        <v>5923</v>
      </c>
      <c r="W41" s="278">
        <v>6138</v>
      </c>
      <c r="X41" s="278">
        <f>[9]summary!W34</f>
        <v>6159</v>
      </c>
      <c r="Y41" s="278">
        <f>[10]Summary!X34</f>
        <v>7532</v>
      </c>
      <c r="Z41" s="278">
        <f>[11]Summary!Z41</f>
        <v>9512</v>
      </c>
      <c r="AA41" s="278">
        <f>[11]Summary!AA41</f>
        <v>8084</v>
      </c>
      <c r="AB41" s="278"/>
      <c r="AC41" s="279"/>
    </row>
    <row r="42" spans="2:29" x14ac:dyDescent="0.25">
      <c r="B42" s="268" t="s">
        <v>51</v>
      </c>
      <c r="C42" s="274">
        <v>2776</v>
      </c>
      <c r="D42" s="274">
        <v>2995</v>
      </c>
      <c r="E42" s="274">
        <v>3688</v>
      </c>
      <c r="F42" s="274">
        <v>2687</v>
      </c>
      <c r="G42" s="275">
        <v>3226</v>
      </c>
      <c r="H42" s="276">
        <v>3403</v>
      </c>
      <c r="I42" s="276">
        <v>3806</v>
      </c>
      <c r="J42" s="275">
        <v>3498</v>
      </c>
      <c r="K42" s="275">
        <v>4016</v>
      </c>
      <c r="L42" s="277">
        <v>3536</v>
      </c>
      <c r="M42" s="277">
        <v>3856</v>
      </c>
      <c r="N42" s="278">
        <v>4246</v>
      </c>
      <c r="O42" s="278">
        <v>4460</v>
      </c>
      <c r="P42" s="278">
        <v>6086</v>
      </c>
      <c r="Q42" s="278">
        <v>6929</v>
      </c>
      <c r="R42" s="278">
        <v>6443</v>
      </c>
      <c r="S42" s="278">
        <v>5374</v>
      </c>
      <c r="T42" s="278">
        <v>4643</v>
      </c>
      <c r="U42" s="278">
        <v>4009</v>
      </c>
      <c r="V42" s="278">
        <v>5026</v>
      </c>
      <c r="W42" s="278">
        <v>5754</v>
      </c>
      <c r="X42" s="278">
        <f>[9]summary!W35</f>
        <v>5735</v>
      </c>
      <c r="Y42" s="278">
        <f>[10]Summary!X35</f>
        <v>5663</v>
      </c>
      <c r="Z42" s="278">
        <f>[11]Summary!Z42</f>
        <v>5320</v>
      </c>
      <c r="AA42" s="278">
        <f>[11]Summary!AA42</f>
        <v>7428</v>
      </c>
      <c r="AB42" s="278"/>
      <c r="AC42" s="279"/>
    </row>
    <row r="43" spans="2:29" x14ac:dyDescent="0.25">
      <c r="B43" s="268" t="s">
        <v>19</v>
      </c>
      <c r="C43" s="274">
        <v>1432</v>
      </c>
      <c r="D43" s="274">
        <v>1688</v>
      </c>
      <c r="E43" s="274">
        <v>825</v>
      </c>
      <c r="F43" s="274">
        <v>1354</v>
      </c>
      <c r="G43" s="275">
        <v>1207</v>
      </c>
      <c r="H43" s="276">
        <v>1157</v>
      </c>
      <c r="I43" s="276">
        <v>1765</v>
      </c>
      <c r="J43" s="275">
        <v>1031</v>
      </c>
      <c r="K43" s="275">
        <v>907</v>
      </c>
      <c r="L43" s="277">
        <v>787</v>
      </c>
      <c r="M43" s="277">
        <v>967</v>
      </c>
      <c r="N43" s="278">
        <v>1178</v>
      </c>
      <c r="O43" s="278">
        <v>1525</v>
      </c>
      <c r="P43" s="278">
        <v>2196</v>
      </c>
      <c r="Q43" s="278">
        <v>1889</v>
      </c>
      <c r="R43" s="278">
        <v>1675</v>
      </c>
      <c r="S43" s="278">
        <v>1706</v>
      </c>
      <c r="T43" s="278">
        <v>1763</v>
      </c>
      <c r="U43" s="278">
        <v>1594</v>
      </c>
      <c r="V43" s="278">
        <v>1574</v>
      </c>
      <c r="W43" s="278">
        <v>1449</v>
      </c>
      <c r="X43" s="278">
        <f>[9]summary!W36</f>
        <v>1649</v>
      </c>
      <c r="Y43" s="278">
        <f>[10]Summary!X36</f>
        <v>1564</v>
      </c>
      <c r="Z43" s="278">
        <f>[11]Summary!Z43</f>
        <v>1710</v>
      </c>
      <c r="AA43" s="278">
        <f>[11]Summary!AA43</f>
        <v>351</v>
      </c>
      <c r="AB43" s="278"/>
      <c r="AC43" s="279"/>
    </row>
    <row r="44" spans="2:29" x14ac:dyDescent="0.25">
      <c r="B44" s="280" t="s">
        <v>20</v>
      </c>
      <c r="C44" s="281">
        <v>7304</v>
      </c>
      <c r="D44" s="281">
        <v>8165</v>
      </c>
      <c r="E44" s="281">
        <v>7824</v>
      </c>
      <c r="F44" s="281">
        <v>6910</v>
      </c>
      <c r="G44" s="281">
        <v>7889</v>
      </c>
      <c r="H44" s="281">
        <v>8150</v>
      </c>
      <c r="I44" s="281">
        <v>9605</v>
      </c>
      <c r="J44" s="281">
        <v>8365</v>
      </c>
      <c r="K44" s="281">
        <v>9218</v>
      </c>
      <c r="L44" s="281">
        <v>8094</v>
      </c>
      <c r="M44" s="281">
        <v>9365</v>
      </c>
      <c r="N44" s="281">
        <v>10909</v>
      </c>
      <c r="O44" s="281">
        <v>12078</v>
      </c>
      <c r="P44" s="281">
        <v>14870</v>
      </c>
      <c r="Q44" s="281">
        <v>15754</v>
      </c>
      <c r="R44" s="281">
        <v>15082</v>
      </c>
      <c r="S44" s="281">
        <v>12617</v>
      </c>
      <c r="T44" s="281">
        <v>12804</v>
      </c>
      <c r="U44" s="281">
        <v>12285</v>
      </c>
      <c r="V44" s="281">
        <v>12523</v>
      </c>
      <c r="W44" s="281">
        <v>13341</v>
      </c>
      <c r="X44" s="281">
        <f>[9]summary!W37</f>
        <v>13543</v>
      </c>
      <c r="Y44" s="281">
        <f>[10]Summary!X37</f>
        <v>14759</v>
      </c>
      <c r="Z44" s="281">
        <f>[11]Summary!Z44</f>
        <v>16542</v>
      </c>
      <c r="AA44" s="281">
        <f>[11]Summary!AA44</f>
        <v>15863</v>
      </c>
      <c r="AB44" s="281"/>
      <c r="AC44" s="283"/>
    </row>
    <row r="45" spans="2:29" x14ac:dyDescent="0.25">
      <c r="B45" s="268" t="s">
        <v>21</v>
      </c>
      <c r="C45" s="274">
        <v>2448</v>
      </c>
      <c r="D45" s="274">
        <v>2895</v>
      </c>
      <c r="E45" s="274">
        <v>871</v>
      </c>
      <c r="F45" s="274">
        <v>2228</v>
      </c>
      <c r="G45" s="275">
        <v>2320</v>
      </c>
      <c r="H45" s="276">
        <v>1956</v>
      </c>
      <c r="I45" s="276">
        <v>2370</v>
      </c>
      <c r="J45" s="275">
        <v>1650</v>
      </c>
      <c r="K45" s="275">
        <v>1596</v>
      </c>
      <c r="L45" s="277">
        <v>1619</v>
      </c>
      <c r="M45" s="277">
        <v>1712</v>
      </c>
      <c r="N45" s="278">
        <v>1494</v>
      </c>
      <c r="O45" s="278">
        <v>2093</v>
      </c>
      <c r="P45" s="278">
        <v>2513</v>
      </c>
      <c r="Q45" s="278">
        <v>2847</v>
      </c>
      <c r="R45" s="278">
        <v>2320</v>
      </c>
      <c r="S45" s="278">
        <v>2985</v>
      </c>
      <c r="T45" s="278">
        <v>2956</v>
      </c>
      <c r="U45" s="278">
        <v>2553</v>
      </c>
      <c r="V45" s="278">
        <v>2909</v>
      </c>
      <c r="W45" s="278">
        <v>2312</v>
      </c>
      <c r="X45" s="278">
        <f>[9]summary!W38</f>
        <v>2236</v>
      </c>
      <c r="Y45" s="278">
        <f>[10]Summary!X38</f>
        <v>2841</v>
      </c>
      <c r="Z45" s="278">
        <f>[11]Summary!Z45</f>
        <v>3246</v>
      </c>
      <c r="AA45" s="278">
        <f>[11]Summary!AA45</f>
        <v>602</v>
      </c>
      <c r="AB45" s="278"/>
      <c r="AC45" s="279"/>
    </row>
    <row r="46" spans="2:29" x14ac:dyDescent="0.25">
      <c r="B46" s="268" t="s">
        <v>22</v>
      </c>
      <c r="C46" s="274">
        <v>3335</v>
      </c>
      <c r="D46" s="274">
        <v>3336</v>
      </c>
      <c r="E46" s="274">
        <v>1551</v>
      </c>
      <c r="F46" s="274">
        <v>3530</v>
      </c>
      <c r="G46" s="275">
        <v>3620</v>
      </c>
      <c r="H46" s="276">
        <v>3038</v>
      </c>
      <c r="I46" s="276">
        <v>2632</v>
      </c>
      <c r="J46" s="275">
        <v>3536</v>
      </c>
      <c r="K46" s="275">
        <v>3291</v>
      </c>
      <c r="L46" s="277">
        <v>3786</v>
      </c>
      <c r="M46" s="277">
        <v>4541</v>
      </c>
      <c r="N46" s="278">
        <v>4410</v>
      </c>
      <c r="O46" s="278">
        <v>5708</v>
      </c>
      <c r="P46" s="278">
        <v>6268</v>
      </c>
      <c r="Q46" s="278">
        <v>6063</v>
      </c>
      <c r="R46" s="278">
        <v>4866</v>
      </c>
      <c r="S46" s="278">
        <v>4874</v>
      </c>
      <c r="T46" s="278">
        <v>5213</v>
      </c>
      <c r="U46" s="278">
        <v>5726</v>
      </c>
      <c r="V46" s="278">
        <v>4847</v>
      </c>
      <c r="W46" s="278">
        <v>5945</v>
      </c>
      <c r="X46" s="278">
        <f>[9]summary!W39</f>
        <v>6148</v>
      </c>
      <c r="Y46" s="278">
        <f>[10]Summary!X39</f>
        <v>5963</v>
      </c>
      <c r="Z46" s="278">
        <f>[11]Summary!Z46</f>
        <v>6557</v>
      </c>
      <c r="AA46" s="278">
        <f>[11]Summary!AA46</f>
        <v>1299</v>
      </c>
      <c r="AB46" s="278"/>
      <c r="AC46" s="279"/>
    </row>
    <row r="47" spans="2:29" x14ac:dyDescent="0.25">
      <c r="B47" s="268" t="s">
        <v>23</v>
      </c>
      <c r="C47" s="274">
        <v>4477</v>
      </c>
      <c r="D47" s="274">
        <v>4663</v>
      </c>
      <c r="E47" s="274">
        <v>2918</v>
      </c>
      <c r="F47" s="274">
        <v>4412</v>
      </c>
      <c r="G47" s="275">
        <v>4705</v>
      </c>
      <c r="H47" s="276">
        <v>4981</v>
      </c>
      <c r="I47" s="276">
        <v>3848</v>
      </c>
      <c r="J47" s="275">
        <v>5500</v>
      </c>
      <c r="K47" s="275">
        <v>4693</v>
      </c>
      <c r="L47" s="277">
        <v>4971</v>
      </c>
      <c r="M47" s="277">
        <v>5773</v>
      </c>
      <c r="N47" s="278">
        <v>6049</v>
      </c>
      <c r="O47" s="278">
        <v>7099</v>
      </c>
      <c r="P47" s="278">
        <v>8167</v>
      </c>
      <c r="Q47" s="278">
        <v>7354</v>
      </c>
      <c r="R47" s="278">
        <v>6344</v>
      </c>
      <c r="S47" s="278">
        <v>6699</v>
      </c>
      <c r="T47" s="278">
        <v>7289</v>
      </c>
      <c r="U47" s="278">
        <v>6964</v>
      </c>
      <c r="V47" s="278">
        <v>7230</v>
      </c>
      <c r="W47" s="278">
        <v>8062</v>
      </c>
      <c r="X47" s="278">
        <f>[9]summary!W40</f>
        <v>8574</v>
      </c>
      <c r="Y47" s="278">
        <f>[10]Summary!X40</f>
        <v>8314</v>
      </c>
      <c r="Z47" s="278">
        <f>[11]Summary!Z47</f>
        <v>8526</v>
      </c>
      <c r="AA47" s="278">
        <f>[11]Summary!AA47</f>
        <v>2596</v>
      </c>
      <c r="AB47" s="278"/>
      <c r="AC47" s="279"/>
    </row>
    <row r="48" spans="2:29" x14ac:dyDescent="0.25">
      <c r="B48" s="280" t="s">
        <v>24</v>
      </c>
      <c r="C48" s="281">
        <v>10260</v>
      </c>
      <c r="D48" s="281">
        <v>10894</v>
      </c>
      <c r="E48" s="281">
        <v>5340</v>
      </c>
      <c r="F48" s="281">
        <v>10170</v>
      </c>
      <c r="G48" s="281">
        <v>10645</v>
      </c>
      <c r="H48" s="281">
        <v>9975</v>
      </c>
      <c r="I48" s="281">
        <v>8850</v>
      </c>
      <c r="J48" s="281">
        <v>10686</v>
      </c>
      <c r="K48" s="281">
        <v>9580</v>
      </c>
      <c r="L48" s="281">
        <v>10376</v>
      </c>
      <c r="M48" s="281">
        <v>12026</v>
      </c>
      <c r="N48" s="281">
        <v>11953</v>
      </c>
      <c r="O48" s="281">
        <v>14900</v>
      </c>
      <c r="P48" s="281">
        <v>16948</v>
      </c>
      <c r="Q48" s="281">
        <v>16264</v>
      </c>
      <c r="R48" s="281">
        <v>13530</v>
      </c>
      <c r="S48" s="281">
        <v>14558</v>
      </c>
      <c r="T48" s="281">
        <v>15458</v>
      </c>
      <c r="U48" s="281">
        <v>15243</v>
      </c>
      <c r="V48" s="281">
        <v>14986</v>
      </c>
      <c r="W48" s="281">
        <v>16319</v>
      </c>
      <c r="X48" s="281">
        <f>[9]summary!W41</f>
        <v>16958</v>
      </c>
      <c r="Y48" s="281">
        <f>[10]Summary!X41</f>
        <v>17118</v>
      </c>
      <c r="Z48" s="281">
        <f>[11]Summary!Z48</f>
        <v>18329</v>
      </c>
      <c r="AA48" s="281">
        <f>[11]Summary!AA48</f>
        <v>4497</v>
      </c>
      <c r="AB48" s="281"/>
      <c r="AC48" s="283"/>
    </row>
    <row r="49" spans="2:29" ht="16.5" thickBot="1" x14ac:dyDescent="0.3">
      <c r="B49" s="284" t="s">
        <v>7</v>
      </c>
      <c r="C49" s="285">
        <v>37658</v>
      </c>
      <c r="D49" s="285">
        <v>43705</v>
      </c>
      <c r="E49" s="285">
        <v>38531</v>
      </c>
      <c r="F49" s="285">
        <v>37498</v>
      </c>
      <c r="G49" s="285">
        <v>43181</v>
      </c>
      <c r="H49" s="285">
        <v>43874</v>
      </c>
      <c r="I49" s="285">
        <v>46782</v>
      </c>
      <c r="J49" s="285">
        <v>43789</v>
      </c>
      <c r="K49" s="285">
        <v>47965</v>
      </c>
      <c r="L49" s="285">
        <v>43969</v>
      </c>
      <c r="M49" s="285">
        <v>46915</v>
      </c>
      <c r="N49" s="285">
        <v>53987</v>
      </c>
      <c r="O49" s="285">
        <v>62084</v>
      </c>
      <c r="P49" s="285">
        <v>72962</v>
      </c>
      <c r="Q49" s="285">
        <v>77652</v>
      </c>
      <c r="R49" s="285">
        <v>68284</v>
      </c>
      <c r="S49" s="285">
        <v>57891</v>
      </c>
      <c r="T49" s="285">
        <v>61998</v>
      </c>
      <c r="U49" s="285">
        <v>65783</v>
      </c>
      <c r="V49" s="285">
        <v>64698</v>
      </c>
      <c r="W49" s="285">
        <v>69068</v>
      </c>
      <c r="X49" s="285">
        <f>[9]summary!W42</f>
        <v>70917</v>
      </c>
      <c r="Y49" s="285">
        <f>[10]Summary!X42</f>
        <v>73232</v>
      </c>
      <c r="Z49" s="285">
        <f>[11]Summary!Z49</f>
        <v>79239</v>
      </c>
      <c r="AA49" s="285">
        <f>[11]Summary!AA49</f>
        <v>68254</v>
      </c>
      <c r="AB49" s="285">
        <f>AB48+AB44+AB40+AB36</f>
        <v>6064</v>
      </c>
      <c r="AC49" s="286"/>
    </row>
    <row r="50" spans="2:29" x14ac:dyDescent="0.25">
      <c r="B50" s="2"/>
      <c r="C50" s="21"/>
      <c r="D50" s="21"/>
      <c r="E50" s="21"/>
      <c r="F50" s="21"/>
      <c r="G50" s="22"/>
      <c r="H50" s="22"/>
      <c r="I50" s="12"/>
      <c r="J50" s="12"/>
      <c r="K50" s="12"/>
      <c r="L50" s="12"/>
      <c r="M50" s="12"/>
      <c r="N50" s="12"/>
      <c r="O50" s="256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spans="2:29" ht="20.25" x14ac:dyDescent="0.3">
      <c r="B51" s="287" t="s">
        <v>204</v>
      </c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0"/>
      <c r="W51" s="20"/>
      <c r="X51" s="20"/>
      <c r="Y51" s="20"/>
      <c r="Z51" s="20"/>
      <c r="AA51" s="20"/>
      <c r="AB51" s="20"/>
      <c r="AC51" s="20"/>
    </row>
    <row r="52" spans="2:29" s="263" customFormat="1" ht="24" x14ac:dyDescent="0.2">
      <c r="B52" s="264" t="s">
        <v>8</v>
      </c>
      <c r="C52" s="265">
        <v>1993</v>
      </c>
      <c r="D52" s="265">
        <v>1994</v>
      </c>
      <c r="E52" s="265">
        <v>1995</v>
      </c>
      <c r="F52" s="265">
        <v>1996</v>
      </c>
      <c r="G52" s="265">
        <v>1997</v>
      </c>
      <c r="H52" s="265">
        <v>1998</v>
      </c>
      <c r="I52" s="265">
        <v>1999</v>
      </c>
      <c r="J52" s="266">
        <v>2000</v>
      </c>
      <c r="K52" s="266">
        <v>2001</v>
      </c>
      <c r="L52" s="265">
        <v>2002</v>
      </c>
      <c r="M52" s="265">
        <v>2003</v>
      </c>
      <c r="N52" s="265">
        <v>2004</v>
      </c>
      <c r="O52" s="265">
        <v>2005</v>
      </c>
      <c r="P52" s="265">
        <v>2006</v>
      </c>
      <c r="Q52" s="265">
        <v>2007</v>
      </c>
      <c r="R52" s="265">
        <v>2008</v>
      </c>
      <c r="S52" s="265">
        <v>2009</v>
      </c>
      <c r="T52" s="265">
        <v>2010</v>
      </c>
      <c r="U52" s="265">
        <v>2011</v>
      </c>
      <c r="V52" s="265">
        <v>2012</v>
      </c>
      <c r="W52" s="265">
        <v>2013</v>
      </c>
      <c r="X52" s="265">
        <v>2014</v>
      </c>
      <c r="Y52" s="265">
        <v>2015</v>
      </c>
      <c r="Z52" s="265">
        <v>2016</v>
      </c>
      <c r="AA52" s="265">
        <v>2017</v>
      </c>
      <c r="AB52" s="265">
        <v>2018</v>
      </c>
      <c r="AC52" s="267" t="s">
        <v>218</v>
      </c>
    </row>
    <row r="53" spans="2:29" x14ac:dyDescent="0.25">
      <c r="B53" s="268" t="s">
        <v>9</v>
      </c>
      <c r="C53" s="269">
        <v>6906</v>
      </c>
      <c r="D53" s="269">
        <v>6948</v>
      </c>
      <c r="E53" s="269">
        <v>9382</v>
      </c>
      <c r="F53" s="269">
        <v>3190</v>
      </c>
      <c r="G53" s="270">
        <v>7313</v>
      </c>
      <c r="H53" s="271">
        <v>8112</v>
      </c>
      <c r="I53" s="271">
        <v>6374</v>
      </c>
      <c r="J53" s="270">
        <v>5788</v>
      </c>
      <c r="K53" s="270">
        <v>7290</v>
      </c>
      <c r="L53" s="272">
        <v>5162</v>
      </c>
      <c r="M53" s="272">
        <v>5175</v>
      </c>
      <c r="N53" s="273">
        <v>5927</v>
      </c>
      <c r="O53" s="273">
        <v>8056</v>
      </c>
      <c r="P53" s="273">
        <v>9414</v>
      </c>
      <c r="Q53" s="273">
        <v>9284</v>
      </c>
      <c r="R53" s="273">
        <v>6228</v>
      </c>
      <c r="S53" s="273">
        <v>5105</v>
      </c>
      <c r="T53" s="273">
        <v>5295</v>
      </c>
      <c r="U53" s="273">
        <v>5925</v>
      </c>
      <c r="V53" s="273">
        <v>6824</v>
      </c>
      <c r="W53" s="273">
        <v>7775</v>
      </c>
      <c r="X53" s="273">
        <f>[9]summary!W46</f>
        <v>10539</v>
      </c>
      <c r="Y53" s="273">
        <f>[10]Summary!X46</f>
        <v>12844</v>
      </c>
      <c r="Z53" s="273">
        <f>[11]Summary!Z53</f>
        <v>10638</v>
      </c>
      <c r="AA53" s="273">
        <f>[11]Summary!AA53</f>
        <v>10847</v>
      </c>
      <c r="AB53" s="273">
        <f>'Data Entry'!$F$65</f>
        <v>2180</v>
      </c>
      <c r="AC53" s="279">
        <f>(AB53-AA53)/AA53</f>
        <v>-0.79902277127316312</v>
      </c>
    </row>
    <row r="54" spans="2:29" x14ac:dyDescent="0.25">
      <c r="B54" s="268" t="s">
        <v>10</v>
      </c>
      <c r="C54" s="274">
        <v>7249</v>
      </c>
      <c r="D54" s="274">
        <v>7682</v>
      </c>
      <c r="E54" s="274">
        <v>8978</v>
      </c>
      <c r="F54" s="274">
        <v>4357</v>
      </c>
      <c r="G54" s="275">
        <v>6525</v>
      </c>
      <c r="H54" s="276">
        <v>7251</v>
      </c>
      <c r="I54" s="276">
        <v>5147</v>
      </c>
      <c r="J54" s="275">
        <v>6864</v>
      </c>
      <c r="K54" s="275">
        <v>5934</v>
      </c>
      <c r="L54" s="277">
        <v>5856</v>
      </c>
      <c r="M54" s="277">
        <v>5663</v>
      </c>
      <c r="N54" s="278">
        <v>6234</v>
      </c>
      <c r="O54" s="278">
        <v>7929</v>
      </c>
      <c r="P54" s="278">
        <v>8702</v>
      </c>
      <c r="Q54" s="278">
        <v>8784</v>
      </c>
      <c r="R54" s="278">
        <v>5372</v>
      </c>
      <c r="S54" s="278">
        <v>4545</v>
      </c>
      <c r="T54" s="278">
        <v>6145</v>
      </c>
      <c r="U54" s="278">
        <v>5539</v>
      </c>
      <c r="V54" s="278">
        <v>6599</v>
      </c>
      <c r="W54" s="278">
        <v>7896</v>
      </c>
      <c r="X54" s="278">
        <f>[9]summary!W47</f>
        <v>9328</v>
      </c>
      <c r="Y54" s="278">
        <f>[10]Summary!X47</f>
        <v>10716</v>
      </c>
      <c r="Z54" s="278">
        <f>[11]Summary!Z54</f>
        <v>8909</v>
      </c>
      <c r="AA54" s="278">
        <f>[11]Summary!AA54</f>
        <v>10166</v>
      </c>
      <c r="AB54" s="278">
        <f>'Data Entry'!$F$66</f>
        <v>2289</v>
      </c>
      <c r="AC54" s="279">
        <f>(AB54-AA54)/AA54</f>
        <v>-0.77483769427503446</v>
      </c>
    </row>
    <row r="55" spans="2:29" x14ac:dyDescent="0.25">
      <c r="B55" s="268" t="s">
        <v>47</v>
      </c>
      <c r="C55" s="274">
        <v>6292</v>
      </c>
      <c r="D55" s="274">
        <v>7697</v>
      </c>
      <c r="E55" s="274">
        <v>9740</v>
      </c>
      <c r="F55" s="274">
        <v>3752</v>
      </c>
      <c r="G55" s="275">
        <v>8975</v>
      </c>
      <c r="H55" s="276">
        <v>8387</v>
      </c>
      <c r="I55" s="276">
        <v>6672</v>
      </c>
      <c r="J55" s="275">
        <v>8152</v>
      </c>
      <c r="K55" s="275">
        <v>5722</v>
      </c>
      <c r="L55" s="277">
        <v>7780</v>
      </c>
      <c r="M55" s="277">
        <v>5878</v>
      </c>
      <c r="N55" s="278">
        <v>6382</v>
      </c>
      <c r="O55" s="278">
        <v>9768</v>
      </c>
      <c r="P55" s="278">
        <v>10328</v>
      </c>
      <c r="Q55" s="278">
        <v>10529</v>
      </c>
      <c r="R55" s="278">
        <v>6283</v>
      </c>
      <c r="S55" s="278">
        <v>5438</v>
      </c>
      <c r="T55" s="278">
        <v>6183</v>
      </c>
      <c r="U55" s="278">
        <v>7349</v>
      </c>
      <c r="V55" s="278">
        <v>6704</v>
      </c>
      <c r="W55" s="278">
        <v>9390</v>
      </c>
      <c r="X55" s="278">
        <f>[9]summary!W48</f>
        <v>10579</v>
      </c>
      <c r="Y55" s="278">
        <f>[10]Summary!X48</f>
        <v>12306</v>
      </c>
      <c r="Z55" s="278">
        <f>[11]Summary!Z55</f>
        <v>9839</v>
      </c>
      <c r="AA55" s="278">
        <f>[11]Summary!AA55</f>
        <v>10668</v>
      </c>
      <c r="AB55" s="278"/>
      <c r="AC55" s="279"/>
    </row>
    <row r="56" spans="2:29" x14ac:dyDescent="0.25">
      <c r="B56" s="280" t="s">
        <v>12</v>
      </c>
      <c r="C56" s="281">
        <v>20447</v>
      </c>
      <c r="D56" s="281">
        <v>22327</v>
      </c>
      <c r="E56" s="281">
        <v>28100</v>
      </c>
      <c r="F56" s="281">
        <v>11299</v>
      </c>
      <c r="G56" s="281">
        <v>22813</v>
      </c>
      <c r="H56" s="281">
        <v>23750</v>
      </c>
      <c r="I56" s="281">
        <v>18193</v>
      </c>
      <c r="J56" s="281">
        <v>20804</v>
      </c>
      <c r="K56" s="281">
        <v>18946</v>
      </c>
      <c r="L56" s="281">
        <v>18798</v>
      </c>
      <c r="M56" s="281">
        <v>16716</v>
      </c>
      <c r="N56" s="281">
        <v>18543</v>
      </c>
      <c r="O56" s="281">
        <v>25753</v>
      </c>
      <c r="P56" s="281">
        <v>28444</v>
      </c>
      <c r="Q56" s="281">
        <v>28597</v>
      </c>
      <c r="R56" s="281">
        <v>17883</v>
      </c>
      <c r="S56" s="281">
        <v>15088</v>
      </c>
      <c r="T56" s="281">
        <v>17623</v>
      </c>
      <c r="U56" s="281">
        <v>18813</v>
      </c>
      <c r="V56" s="281">
        <v>20127</v>
      </c>
      <c r="W56" s="281">
        <v>25061</v>
      </c>
      <c r="X56" s="281">
        <f>[9]summary!W49</f>
        <v>30446</v>
      </c>
      <c r="Y56" s="281">
        <f>[10]Summary!X49</f>
        <v>35866</v>
      </c>
      <c r="Z56" s="281">
        <f>[11]Summary!Z56</f>
        <v>29386</v>
      </c>
      <c r="AA56" s="281">
        <f>[11]Summary!AA56</f>
        <v>31681</v>
      </c>
      <c r="AB56" s="281">
        <f>SUM(AB53:AB55)</f>
        <v>4469</v>
      </c>
      <c r="AC56" s="283"/>
    </row>
    <row r="57" spans="2:29" x14ac:dyDescent="0.25">
      <c r="B57" s="268" t="s">
        <v>48</v>
      </c>
      <c r="C57" s="274">
        <v>7227</v>
      </c>
      <c r="D57" s="274">
        <v>6702</v>
      </c>
      <c r="E57" s="274">
        <v>8573</v>
      </c>
      <c r="F57" s="274">
        <v>4232</v>
      </c>
      <c r="G57" s="275">
        <v>5340</v>
      </c>
      <c r="H57" s="276">
        <v>6867</v>
      </c>
      <c r="I57" s="276">
        <v>5753</v>
      </c>
      <c r="J57" s="275">
        <v>7036</v>
      </c>
      <c r="K57" s="275">
        <v>5640</v>
      </c>
      <c r="L57" s="277">
        <v>6431</v>
      </c>
      <c r="M57" s="277">
        <v>4949</v>
      </c>
      <c r="N57" s="278">
        <v>6287</v>
      </c>
      <c r="O57" s="278">
        <v>7675</v>
      </c>
      <c r="P57" s="278">
        <v>10091</v>
      </c>
      <c r="Q57" s="278">
        <v>10254</v>
      </c>
      <c r="R57" s="278">
        <v>5556</v>
      </c>
      <c r="S57" s="278">
        <v>5692</v>
      </c>
      <c r="T57" s="278">
        <v>5607</v>
      </c>
      <c r="U57" s="278">
        <v>5567</v>
      </c>
      <c r="V57" s="278">
        <v>6249</v>
      </c>
      <c r="W57" s="278">
        <v>7401</v>
      </c>
      <c r="X57" s="278">
        <f>[9]summary!W50</f>
        <v>10235</v>
      </c>
      <c r="Y57" s="278">
        <f>[10]Summary!X50</f>
        <v>11166</v>
      </c>
      <c r="Z57" s="278">
        <f>[11]Summary!Z57</f>
        <v>8406</v>
      </c>
      <c r="AA57" s="278">
        <f>[11]Summary!AA57</f>
        <v>9954</v>
      </c>
      <c r="AB57" s="278"/>
      <c r="AC57" s="279"/>
    </row>
    <row r="58" spans="2:29" x14ac:dyDescent="0.25">
      <c r="B58" s="268" t="s">
        <v>14</v>
      </c>
      <c r="C58" s="274">
        <v>5396</v>
      </c>
      <c r="D58" s="274">
        <v>6206</v>
      </c>
      <c r="E58" s="274">
        <v>6320</v>
      </c>
      <c r="F58" s="274">
        <v>4443</v>
      </c>
      <c r="G58" s="275">
        <v>5525</v>
      </c>
      <c r="H58" s="276">
        <v>6478</v>
      </c>
      <c r="I58" s="276">
        <v>4886</v>
      </c>
      <c r="J58" s="275">
        <v>5810</v>
      </c>
      <c r="K58" s="275">
        <v>4949</v>
      </c>
      <c r="L58" s="277">
        <v>6058</v>
      </c>
      <c r="M58" s="277">
        <v>6101</v>
      </c>
      <c r="N58" s="278">
        <v>4553</v>
      </c>
      <c r="O58" s="278">
        <v>5273</v>
      </c>
      <c r="P58" s="278">
        <v>7369</v>
      </c>
      <c r="Q58" s="278">
        <v>7073</v>
      </c>
      <c r="R58" s="278">
        <v>5800</v>
      </c>
      <c r="S58" s="278">
        <v>4651</v>
      </c>
      <c r="T58" s="278">
        <v>4437</v>
      </c>
      <c r="U58" s="278">
        <v>4088</v>
      </c>
      <c r="V58" s="278">
        <v>4934</v>
      </c>
      <c r="W58" s="278">
        <v>5775</v>
      </c>
      <c r="X58" s="278">
        <f>[9]summary!W51</f>
        <v>7715</v>
      </c>
      <c r="Y58" s="278">
        <f>[10]Summary!X51</f>
        <v>7709</v>
      </c>
      <c r="Z58" s="278">
        <f>[11]Summary!Z58</f>
        <v>6775</v>
      </c>
      <c r="AA58" s="278">
        <f>[11]Summary!AA58</f>
        <v>7239</v>
      </c>
      <c r="AB58" s="278"/>
      <c r="AC58" s="279"/>
    </row>
    <row r="59" spans="2:29" x14ac:dyDescent="0.25">
      <c r="B59" s="268" t="s">
        <v>49</v>
      </c>
      <c r="C59" s="274">
        <v>4725</v>
      </c>
      <c r="D59" s="274">
        <v>5127</v>
      </c>
      <c r="E59" s="274">
        <v>5507</v>
      </c>
      <c r="F59" s="274">
        <v>3313</v>
      </c>
      <c r="G59" s="275">
        <v>4392</v>
      </c>
      <c r="H59" s="276">
        <v>4775</v>
      </c>
      <c r="I59" s="276">
        <v>4695</v>
      </c>
      <c r="J59" s="275">
        <v>5793</v>
      </c>
      <c r="K59" s="275">
        <v>4505</v>
      </c>
      <c r="L59" s="277">
        <v>5007</v>
      </c>
      <c r="M59" s="277">
        <v>4352</v>
      </c>
      <c r="N59" s="278">
        <v>4239</v>
      </c>
      <c r="O59" s="278">
        <v>4934</v>
      </c>
      <c r="P59" s="278">
        <v>6935</v>
      </c>
      <c r="Q59" s="278">
        <v>6954</v>
      </c>
      <c r="R59" s="278">
        <v>4850</v>
      </c>
      <c r="S59" s="278">
        <v>4482</v>
      </c>
      <c r="T59" s="278">
        <v>4242</v>
      </c>
      <c r="U59" s="278">
        <v>3598</v>
      </c>
      <c r="V59" s="278">
        <v>4455</v>
      </c>
      <c r="W59" s="278">
        <v>5558</v>
      </c>
      <c r="X59" s="278">
        <f>[9]summary!W52</f>
        <v>8019</v>
      </c>
      <c r="Y59" s="278">
        <f>[10]Summary!X52</f>
        <v>8464</v>
      </c>
      <c r="Z59" s="278">
        <f>[11]Summary!Z59</f>
        <v>7912</v>
      </c>
      <c r="AA59" s="278">
        <f>[11]Summary!AA59</f>
        <v>9160</v>
      </c>
      <c r="AB59" s="278"/>
      <c r="AC59" s="279"/>
    </row>
    <row r="60" spans="2:29" x14ac:dyDescent="0.25">
      <c r="B60" s="280" t="s">
        <v>16</v>
      </c>
      <c r="C60" s="281">
        <v>17348</v>
      </c>
      <c r="D60" s="281">
        <v>18035</v>
      </c>
      <c r="E60" s="281">
        <v>20400</v>
      </c>
      <c r="F60" s="281">
        <v>11988</v>
      </c>
      <c r="G60" s="281">
        <v>15257</v>
      </c>
      <c r="H60" s="281">
        <v>18120</v>
      </c>
      <c r="I60" s="281">
        <v>15334</v>
      </c>
      <c r="J60" s="281">
        <v>18639</v>
      </c>
      <c r="K60" s="281">
        <v>15094</v>
      </c>
      <c r="L60" s="281">
        <v>17496</v>
      </c>
      <c r="M60" s="281">
        <v>15402</v>
      </c>
      <c r="N60" s="281">
        <v>15079</v>
      </c>
      <c r="O60" s="281">
        <v>17882</v>
      </c>
      <c r="P60" s="281">
        <v>24395</v>
      </c>
      <c r="Q60" s="281">
        <v>24281</v>
      </c>
      <c r="R60" s="281">
        <v>16206</v>
      </c>
      <c r="S60" s="281">
        <v>14825</v>
      </c>
      <c r="T60" s="281">
        <v>14286</v>
      </c>
      <c r="U60" s="281">
        <v>13253</v>
      </c>
      <c r="V60" s="281">
        <v>15638</v>
      </c>
      <c r="W60" s="281">
        <v>18734</v>
      </c>
      <c r="X60" s="281">
        <f>[9]summary!W53</f>
        <v>25969</v>
      </c>
      <c r="Y60" s="281">
        <f>[10]Summary!X53</f>
        <v>27339</v>
      </c>
      <c r="Z60" s="281">
        <f>[11]Summary!Z60</f>
        <v>23093</v>
      </c>
      <c r="AA60" s="281">
        <f>[11]Summary!AA60</f>
        <v>26353</v>
      </c>
      <c r="AB60" s="281"/>
      <c r="AC60" s="283"/>
    </row>
    <row r="61" spans="2:29" x14ac:dyDescent="0.25">
      <c r="B61" s="268" t="s">
        <v>50</v>
      </c>
      <c r="C61" s="274">
        <v>6094</v>
      </c>
      <c r="D61" s="274">
        <v>6789</v>
      </c>
      <c r="E61" s="274">
        <v>6603</v>
      </c>
      <c r="F61" s="274">
        <v>3324</v>
      </c>
      <c r="G61" s="275">
        <v>5927</v>
      </c>
      <c r="H61" s="276">
        <v>5754</v>
      </c>
      <c r="I61" s="276">
        <v>5375</v>
      </c>
      <c r="J61" s="275">
        <v>5911</v>
      </c>
      <c r="K61" s="275">
        <v>4624</v>
      </c>
      <c r="L61" s="277">
        <v>6064</v>
      </c>
      <c r="M61" s="277">
        <v>6478</v>
      </c>
      <c r="N61" s="278">
        <v>5684</v>
      </c>
      <c r="O61" s="278">
        <v>7021</v>
      </c>
      <c r="P61" s="278">
        <v>7803</v>
      </c>
      <c r="Q61" s="278">
        <v>8588</v>
      </c>
      <c r="R61" s="278">
        <v>5408</v>
      </c>
      <c r="S61" s="278">
        <v>5999</v>
      </c>
      <c r="T61" s="278">
        <v>4909</v>
      </c>
      <c r="U61" s="278">
        <v>6020</v>
      </c>
      <c r="V61" s="278">
        <v>5359</v>
      </c>
      <c r="W61" s="278">
        <v>7359</v>
      </c>
      <c r="X61" s="278">
        <f>[9]summary!W54</f>
        <v>9939</v>
      </c>
      <c r="Y61" s="278">
        <f>[10]Summary!X54</f>
        <v>10950</v>
      </c>
      <c r="Z61" s="278">
        <f>[11]Summary!Z61</f>
        <v>9401</v>
      </c>
      <c r="AA61" s="278">
        <f>[11]Summary!AA61</f>
        <v>11008</v>
      </c>
      <c r="AB61" s="278"/>
      <c r="AC61" s="279"/>
    </row>
    <row r="62" spans="2:29" x14ac:dyDescent="0.25">
      <c r="B62" s="268" t="s">
        <v>51</v>
      </c>
      <c r="C62" s="274">
        <v>7846</v>
      </c>
      <c r="D62" s="274">
        <v>9185</v>
      </c>
      <c r="E62" s="274">
        <v>8611</v>
      </c>
      <c r="F62" s="274">
        <v>5913</v>
      </c>
      <c r="G62" s="275">
        <v>7271</v>
      </c>
      <c r="H62" s="276">
        <v>7045</v>
      </c>
      <c r="I62" s="276">
        <v>7971</v>
      </c>
      <c r="J62" s="275">
        <v>6852</v>
      </c>
      <c r="K62" s="275">
        <v>5694</v>
      </c>
      <c r="L62" s="277">
        <v>7596</v>
      </c>
      <c r="M62" s="277">
        <v>8091</v>
      </c>
      <c r="N62" s="278">
        <v>8395</v>
      </c>
      <c r="O62" s="278">
        <v>7088</v>
      </c>
      <c r="P62" s="278">
        <v>8871</v>
      </c>
      <c r="Q62" s="278">
        <v>8792</v>
      </c>
      <c r="R62" s="278">
        <v>6065</v>
      </c>
      <c r="S62" s="278">
        <v>4710</v>
      </c>
      <c r="T62" s="278">
        <v>6293</v>
      </c>
      <c r="U62" s="278">
        <v>5152</v>
      </c>
      <c r="V62" s="278">
        <v>7354</v>
      </c>
      <c r="W62" s="278">
        <v>9220</v>
      </c>
      <c r="X62" s="278">
        <f>[9]summary!W55</f>
        <v>10475</v>
      </c>
      <c r="Y62" s="278">
        <f>[10]Summary!X55</f>
        <v>11656</v>
      </c>
      <c r="Z62" s="278">
        <f>[11]Summary!Z62</f>
        <v>10288</v>
      </c>
      <c r="AA62" s="278">
        <f>[11]Summary!AA62</f>
        <v>10160</v>
      </c>
      <c r="AB62" s="278"/>
      <c r="AC62" s="279"/>
    </row>
    <row r="63" spans="2:29" x14ac:dyDescent="0.25">
      <c r="B63" s="268" t="s">
        <v>19</v>
      </c>
      <c r="C63" s="274">
        <v>4168</v>
      </c>
      <c r="D63" s="274">
        <v>4710</v>
      </c>
      <c r="E63" s="274">
        <v>877</v>
      </c>
      <c r="F63" s="274">
        <v>2288</v>
      </c>
      <c r="G63" s="275">
        <v>2597</v>
      </c>
      <c r="H63" s="276">
        <v>2683</v>
      </c>
      <c r="I63" s="276">
        <v>3108</v>
      </c>
      <c r="J63" s="275">
        <v>2630</v>
      </c>
      <c r="K63" s="275">
        <v>2334</v>
      </c>
      <c r="L63" s="277">
        <v>2980</v>
      </c>
      <c r="M63" s="277">
        <v>2515</v>
      </c>
      <c r="N63" s="278">
        <v>2987</v>
      </c>
      <c r="O63" s="278">
        <v>3559</v>
      </c>
      <c r="P63" s="278">
        <v>3871</v>
      </c>
      <c r="Q63" s="278">
        <v>3658</v>
      </c>
      <c r="R63" s="278">
        <v>2381</v>
      </c>
      <c r="S63" s="278">
        <v>2109</v>
      </c>
      <c r="T63" s="278">
        <v>2102</v>
      </c>
      <c r="U63" s="278">
        <v>2043</v>
      </c>
      <c r="V63" s="278">
        <v>2770</v>
      </c>
      <c r="W63" s="278">
        <v>3030</v>
      </c>
      <c r="X63" s="278">
        <f>[9]summary!W56</f>
        <v>4307</v>
      </c>
      <c r="Y63" s="278">
        <f>[10]Summary!X56</f>
        <v>4423</v>
      </c>
      <c r="Z63" s="278">
        <f>[11]Summary!Z63</f>
        <v>3768</v>
      </c>
      <c r="AA63" s="278">
        <f>[11]Summary!AA63</f>
        <v>302</v>
      </c>
      <c r="AB63" s="278"/>
      <c r="AC63" s="279"/>
    </row>
    <row r="64" spans="2:29" x14ac:dyDescent="0.25">
      <c r="B64" s="280" t="s">
        <v>20</v>
      </c>
      <c r="C64" s="281">
        <v>18108</v>
      </c>
      <c r="D64" s="281">
        <v>20684</v>
      </c>
      <c r="E64" s="281">
        <v>16091</v>
      </c>
      <c r="F64" s="281">
        <v>11525</v>
      </c>
      <c r="G64" s="281">
        <v>15795</v>
      </c>
      <c r="H64" s="281">
        <v>15482</v>
      </c>
      <c r="I64" s="281">
        <v>16454</v>
      </c>
      <c r="J64" s="281">
        <v>15393</v>
      </c>
      <c r="K64" s="281">
        <v>12652</v>
      </c>
      <c r="L64" s="281">
        <v>16640</v>
      </c>
      <c r="M64" s="281">
        <v>17084</v>
      </c>
      <c r="N64" s="281">
        <v>17066</v>
      </c>
      <c r="O64" s="281">
        <v>17668</v>
      </c>
      <c r="P64" s="281">
        <v>20545</v>
      </c>
      <c r="Q64" s="281">
        <v>21038</v>
      </c>
      <c r="R64" s="281">
        <v>13854</v>
      </c>
      <c r="S64" s="281">
        <v>12818</v>
      </c>
      <c r="T64" s="281">
        <v>13304</v>
      </c>
      <c r="U64" s="281">
        <v>13215</v>
      </c>
      <c r="V64" s="281">
        <v>15483</v>
      </c>
      <c r="W64" s="281">
        <v>19609</v>
      </c>
      <c r="X64" s="281">
        <f>[9]summary!W57</f>
        <v>24721</v>
      </c>
      <c r="Y64" s="281">
        <f>[10]Summary!X57</f>
        <v>27029</v>
      </c>
      <c r="Z64" s="281">
        <f>[11]Summary!Z64</f>
        <v>23457</v>
      </c>
      <c r="AA64" s="281">
        <f>[11]Summary!AA64</f>
        <v>21470</v>
      </c>
      <c r="AB64" s="281"/>
      <c r="AC64" s="283"/>
    </row>
    <row r="65" spans="2:30" x14ac:dyDescent="0.25">
      <c r="B65" s="268" t="s">
        <v>21</v>
      </c>
      <c r="C65" s="274">
        <v>4931</v>
      </c>
      <c r="D65" s="274">
        <v>5875</v>
      </c>
      <c r="E65" s="274">
        <v>823</v>
      </c>
      <c r="F65" s="274">
        <v>3755</v>
      </c>
      <c r="G65" s="275">
        <v>4449</v>
      </c>
      <c r="H65" s="276">
        <v>4182</v>
      </c>
      <c r="I65" s="276">
        <v>3431</v>
      </c>
      <c r="J65" s="275">
        <v>3652</v>
      </c>
      <c r="K65" s="275">
        <v>2758</v>
      </c>
      <c r="L65" s="277">
        <v>4231</v>
      </c>
      <c r="M65" s="277">
        <v>3735</v>
      </c>
      <c r="N65" s="278">
        <v>3640</v>
      </c>
      <c r="O65" s="278">
        <v>4084</v>
      </c>
      <c r="P65" s="278">
        <v>4782</v>
      </c>
      <c r="Q65" s="278">
        <v>3594</v>
      </c>
      <c r="R65" s="278">
        <v>2872</v>
      </c>
      <c r="S65" s="278">
        <v>3132</v>
      </c>
      <c r="T65" s="278">
        <v>2663</v>
      </c>
      <c r="U65" s="278">
        <v>2945</v>
      </c>
      <c r="V65" s="278">
        <v>3092</v>
      </c>
      <c r="W65" s="278">
        <v>4267</v>
      </c>
      <c r="X65" s="278">
        <f>[9]summary!W58</f>
        <v>4898</v>
      </c>
      <c r="Y65" s="278">
        <f>[10]Summary!X58</f>
        <v>4926</v>
      </c>
      <c r="Z65" s="278">
        <f>[11]Summary!Z65</f>
        <v>5389</v>
      </c>
      <c r="AA65" s="278">
        <f>[11]Summary!AA65</f>
        <v>231</v>
      </c>
      <c r="AB65" s="278"/>
      <c r="AC65" s="279"/>
      <c r="AD65" s="329"/>
    </row>
    <row r="66" spans="2:30" x14ac:dyDescent="0.25">
      <c r="B66" s="268" t="s">
        <v>22</v>
      </c>
      <c r="C66" s="274">
        <v>6215</v>
      </c>
      <c r="D66" s="274">
        <v>7510</v>
      </c>
      <c r="E66" s="274">
        <v>1213</v>
      </c>
      <c r="F66" s="274">
        <v>4801</v>
      </c>
      <c r="G66" s="275">
        <v>6007</v>
      </c>
      <c r="H66" s="276">
        <v>4154</v>
      </c>
      <c r="I66" s="276">
        <v>2960</v>
      </c>
      <c r="J66" s="275">
        <v>4723</v>
      </c>
      <c r="K66" s="275">
        <v>3812</v>
      </c>
      <c r="L66" s="277">
        <v>4659</v>
      </c>
      <c r="M66" s="277">
        <v>3703</v>
      </c>
      <c r="N66" s="278">
        <v>5364</v>
      </c>
      <c r="O66" s="278">
        <v>6627</v>
      </c>
      <c r="P66" s="278">
        <v>7742</v>
      </c>
      <c r="Q66" s="278">
        <v>3760</v>
      </c>
      <c r="R66" s="278">
        <v>4674</v>
      </c>
      <c r="S66" s="278">
        <v>3618</v>
      </c>
      <c r="T66" s="278">
        <v>3862</v>
      </c>
      <c r="U66" s="278">
        <v>4240</v>
      </c>
      <c r="V66" s="278">
        <v>4019</v>
      </c>
      <c r="W66" s="278">
        <v>5991</v>
      </c>
      <c r="X66" s="278">
        <f>[9]summary!W59</f>
        <v>7442</v>
      </c>
      <c r="Y66" s="278">
        <f>[10]Summary!X59</f>
        <v>7964</v>
      </c>
      <c r="Z66" s="278">
        <f>[11]Summary!Z66</f>
        <v>6431</v>
      </c>
      <c r="AA66" s="278">
        <f>[11]Summary!AA66</f>
        <v>1053</v>
      </c>
      <c r="AB66" s="278"/>
      <c r="AC66" s="279"/>
    </row>
    <row r="67" spans="2:30" x14ac:dyDescent="0.25">
      <c r="B67" s="268" t="s">
        <v>23</v>
      </c>
      <c r="C67" s="274">
        <v>6643</v>
      </c>
      <c r="D67" s="274">
        <v>7644</v>
      </c>
      <c r="E67" s="274">
        <v>1928</v>
      </c>
      <c r="F67" s="274">
        <v>5373</v>
      </c>
      <c r="G67" s="275">
        <v>6363</v>
      </c>
      <c r="H67" s="276">
        <v>4234</v>
      </c>
      <c r="I67" s="276">
        <v>3575</v>
      </c>
      <c r="J67" s="275">
        <v>5469</v>
      </c>
      <c r="K67" s="275">
        <v>3747</v>
      </c>
      <c r="L67" s="277">
        <v>5325</v>
      </c>
      <c r="M67" s="277">
        <v>5727</v>
      </c>
      <c r="N67" s="278">
        <v>7109</v>
      </c>
      <c r="O67" s="278">
        <v>9088</v>
      </c>
      <c r="P67" s="278">
        <v>8375</v>
      </c>
      <c r="Q67" s="278">
        <v>5145</v>
      </c>
      <c r="R67" s="278">
        <v>4088</v>
      </c>
      <c r="S67" s="278">
        <v>4743</v>
      </c>
      <c r="T67" s="278">
        <v>4675</v>
      </c>
      <c r="U67" s="278">
        <v>5309</v>
      </c>
      <c r="V67" s="278">
        <v>6334</v>
      </c>
      <c r="W67" s="278">
        <v>8573</v>
      </c>
      <c r="X67" s="278">
        <f>[9]summary!W60</f>
        <v>12387</v>
      </c>
      <c r="Y67" s="278">
        <f>[10]Summary!X60</f>
        <v>9712</v>
      </c>
      <c r="Z67" s="278">
        <f>[11]Summary!Z67</f>
        <v>8975</v>
      </c>
      <c r="AA67" s="278">
        <f>[11]Summary!AA67</f>
        <v>1636</v>
      </c>
      <c r="AB67" s="278"/>
      <c r="AC67" s="279"/>
    </row>
    <row r="68" spans="2:30" x14ac:dyDescent="0.25">
      <c r="B68" s="280" t="s">
        <v>24</v>
      </c>
      <c r="C68" s="281">
        <v>17789</v>
      </c>
      <c r="D68" s="281">
        <v>21029</v>
      </c>
      <c r="E68" s="281">
        <v>3964</v>
      </c>
      <c r="F68" s="281">
        <v>13929</v>
      </c>
      <c r="G68" s="281">
        <v>16819</v>
      </c>
      <c r="H68" s="281">
        <v>12570</v>
      </c>
      <c r="I68" s="281">
        <v>9966</v>
      </c>
      <c r="J68" s="281">
        <v>13844</v>
      </c>
      <c r="K68" s="281">
        <v>10317</v>
      </c>
      <c r="L68" s="281">
        <v>14215</v>
      </c>
      <c r="M68" s="281">
        <v>13165</v>
      </c>
      <c r="N68" s="281">
        <v>16113</v>
      </c>
      <c r="O68" s="281">
        <v>19799</v>
      </c>
      <c r="P68" s="281">
        <v>20899</v>
      </c>
      <c r="Q68" s="281">
        <v>12499</v>
      </c>
      <c r="R68" s="281">
        <v>11634</v>
      </c>
      <c r="S68" s="281">
        <v>11493</v>
      </c>
      <c r="T68" s="281">
        <v>11200</v>
      </c>
      <c r="U68" s="281">
        <v>12494</v>
      </c>
      <c r="V68" s="281">
        <v>13445</v>
      </c>
      <c r="W68" s="281">
        <v>18831</v>
      </c>
      <c r="X68" s="281">
        <f>[9]summary!W61</f>
        <v>24727</v>
      </c>
      <c r="Y68" s="281">
        <f>[10]Summary!X61</f>
        <v>22602</v>
      </c>
      <c r="Z68" s="281">
        <f>[11]Summary!Z68</f>
        <v>20795</v>
      </c>
      <c r="AA68" s="281">
        <f>[11]Summary!AA68</f>
        <v>2920</v>
      </c>
      <c r="AB68" s="281"/>
      <c r="AC68" s="283"/>
    </row>
    <row r="69" spans="2:30" ht="16.5" thickBot="1" x14ac:dyDescent="0.3">
      <c r="B69" s="284" t="s">
        <v>7</v>
      </c>
      <c r="C69" s="285">
        <v>73692</v>
      </c>
      <c r="D69" s="285">
        <v>82075</v>
      </c>
      <c r="E69" s="285">
        <v>68555</v>
      </c>
      <c r="F69" s="285">
        <v>48741</v>
      </c>
      <c r="G69" s="285">
        <v>70684</v>
      </c>
      <c r="H69" s="285">
        <v>69922</v>
      </c>
      <c r="I69" s="285">
        <v>59947</v>
      </c>
      <c r="J69" s="285">
        <v>68680</v>
      </c>
      <c r="K69" s="285">
        <v>57009</v>
      </c>
      <c r="L69" s="285">
        <v>67149</v>
      </c>
      <c r="M69" s="285">
        <v>62367</v>
      </c>
      <c r="N69" s="285">
        <v>66801</v>
      </c>
      <c r="O69" s="285">
        <v>81102</v>
      </c>
      <c r="P69" s="285">
        <v>94283</v>
      </c>
      <c r="Q69" s="285">
        <v>86415</v>
      </c>
      <c r="R69" s="285">
        <v>59577</v>
      </c>
      <c r="S69" s="285">
        <v>54224</v>
      </c>
      <c r="T69" s="285">
        <v>56413</v>
      </c>
      <c r="U69" s="285">
        <v>57775</v>
      </c>
      <c r="V69" s="285">
        <v>64693</v>
      </c>
      <c r="W69" s="285">
        <v>82235</v>
      </c>
      <c r="X69" s="285">
        <f>[9]summary!W62</f>
        <v>105863</v>
      </c>
      <c r="Y69" s="285">
        <f>[10]Summary!X62</f>
        <v>112836</v>
      </c>
      <c r="Z69" s="285">
        <f>[11]Summary!Z69</f>
        <v>96731</v>
      </c>
      <c r="AA69" s="285">
        <f>[11]Summary!AA69</f>
        <v>82424</v>
      </c>
      <c r="AB69" s="285">
        <f>AB68+AB64+AB60+AB56</f>
        <v>4469</v>
      </c>
      <c r="AC69" s="286"/>
    </row>
    <row r="70" spans="2:30" x14ac:dyDescent="0.25">
      <c r="B70" s="2"/>
      <c r="C70" s="21"/>
      <c r="D70" s="21"/>
      <c r="E70" s="21"/>
      <c r="F70" s="21"/>
      <c r="G70" s="21"/>
      <c r="H70" s="21"/>
      <c r="I70" s="21"/>
      <c r="J70" s="28"/>
      <c r="K70" s="28"/>
      <c r="L70" s="28"/>
      <c r="M70" s="28"/>
      <c r="N70" s="28"/>
      <c r="O70" s="28"/>
      <c r="P70" s="28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0"/>
    </row>
    <row r="71" spans="2:30" ht="20.25" x14ac:dyDescent="0.3">
      <c r="B71" s="287" t="s">
        <v>205</v>
      </c>
      <c r="C71" s="259"/>
      <c r="D71" s="259"/>
      <c r="E71" s="259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59"/>
      <c r="T71" s="259"/>
      <c r="U71" s="259"/>
      <c r="V71" s="20"/>
      <c r="W71" s="20"/>
      <c r="X71" s="20"/>
      <c r="Y71" s="20"/>
      <c r="Z71" s="20"/>
      <c r="AA71" s="20"/>
      <c r="AB71" s="20"/>
      <c r="AC71" s="20"/>
    </row>
    <row r="72" spans="2:30" s="263" customFormat="1" ht="24" x14ac:dyDescent="0.2">
      <c r="B72" s="264" t="s">
        <v>25</v>
      </c>
      <c r="C72" s="265">
        <v>1993</v>
      </c>
      <c r="D72" s="265">
        <v>1994</v>
      </c>
      <c r="E72" s="265">
        <v>1995</v>
      </c>
      <c r="F72" s="265">
        <v>1996</v>
      </c>
      <c r="G72" s="265">
        <v>1997</v>
      </c>
      <c r="H72" s="265">
        <v>1998</v>
      </c>
      <c r="I72" s="265">
        <v>1999</v>
      </c>
      <c r="J72" s="266">
        <v>2000</v>
      </c>
      <c r="K72" s="266">
        <v>2001</v>
      </c>
      <c r="L72" s="265">
        <v>2002</v>
      </c>
      <c r="M72" s="265">
        <v>2003</v>
      </c>
      <c r="N72" s="265">
        <v>2004</v>
      </c>
      <c r="O72" s="265">
        <v>2005</v>
      </c>
      <c r="P72" s="265">
        <v>2006</v>
      </c>
      <c r="Q72" s="265">
        <v>2007</v>
      </c>
      <c r="R72" s="265">
        <v>2008</v>
      </c>
      <c r="S72" s="265">
        <v>2009</v>
      </c>
      <c r="T72" s="265">
        <v>2010</v>
      </c>
      <c r="U72" s="265">
        <v>2011</v>
      </c>
      <c r="V72" s="265">
        <v>2012</v>
      </c>
      <c r="W72" s="265">
        <v>2013</v>
      </c>
      <c r="X72" s="265">
        <v>2014</v>
      </c>
      <c r="Y72" s="265">
        <v>2015</v>
      </c>
      <c r="Z72" s="265">
        <v>2016</v>
      </c>
      <c r="AA72" s="265">
        <v>2017</v>
      </c>
      <c r="AB72" s="265">
        <v>2018</v>
      </c>
      <c r="AC72" s="267" t="s">
        <v>218</v>
      </c>
    </row>
    <row r="73" spans="2:30" x14ac:dyDescent="0.25">
      <c r="B73" s="268" t="s">
        <v>9</v>
      </c>
      <c r="C73" s="269">
        <v>17057</v>
      </c>
      <c r="D73" s="269">
        <v>18872</v>
      </c>
      <c r="E73" s="269">
        <v>21902</v>
      </c>
      <c r="F73" s="269">
        <v>13469</v>
      </c>
      <c r="G73" s="270">
        <v>19422</v>
      </c>
      <c r="H73" s="271">
        <v>21508</v>
      </c>
      <c r="I73" s="271">
        <v>20331</v>
      </c>
      <c r="J73" s="270">
        <v>18178</v>
      </c>
      <c r="K73" s="270">
        <v>20570</v>
      </c>
      <c r="L73" s="272">
        <v>17197</v>
      </c>
      <c r="M73" s="272">
        <v>17603</v>
      </c>
      <c r="N73" s="273">
        <v>19413</v>
      </c>
      <c r="O73" s="273">
        <v>22369</v>
      </c>
      <c r="P73" s="273">
        <v>23759</v>
      </c>
      <c r="Q73" s="273">
        <v>27066</v>
      </c>
      <c r="R73" s="273">
        <v>23303</v>
      </c>
      <c r="S73" s="273">
        <v>19293</v>
      </c>
      <c r="T73" s="273">
        <v>19000</v>
      </c>
      <c r="U73" s="273">
        <v>19402</v>
      </c>
      <c r="V73" s="273">
        <v>20606</v>
      </c>
      <c r="W73" s="273">
        <v>21403</v>
      </c>
      <c r="X73" s="273">
        <f>[9]summary!W66</f>
        <v>24186</v>
      </c>
      <c r="Y73" s="273">
        <f>[10]Summary!X66</f>
        <v>27558</v>
      </c>
      <c r="Z73" s="273">
        <f>[11]Summary!Z73</f>
        <v>25036</v>
      </c>
      <c r="AA73" s="273">
        <f>[11]Summary!AA73</f>
        <v>25214</v>
      </c>
      <c r="AB73" s="273">
        <f>'Data Entry'!$F$4</f>
        <v>10642</v>
      </c>
      <c r="AC73" s="279">
        <f>(AB73-AA73)/AA73</f>
        <v>-0.57793289442373286</v>
      </c>
    </row>
    <row r="74" spans="2:30" x14ac:dyDescent="0.25">
      <c r="B74" s="268" t="s">
        <v>10</v>
      </c>
      <c r="C74" s="274">
        <v>17745</v>
      </c>
      <c r="D74" s="274">
        <v>19653</v>
      </c>
      <c r="E74" s="274">
        <v>21015</v>
      </c>
      <c r="F74" s="274">
        <v>15103</v>
      </c>
      <c r="G74" s="275">
        <v>18250</v>
      </c>
      <c r="H74" s="276">
        <v>20052</v>
      </c>
      <c r="I74" s="276">
        <v>18755</v>
      </c>
      <c r="J74" s="275">
        <v>20477</v>
      </c>
      <c r="K74" s="275">
        <v>19787</v>
      </c>
      <c r="L74" s="277">
        <v>18383</v>
      </c>
      <c r="M74" s="277">
        <v>17225</v>
      </c>
      <c r="N74" s="278">
        <v>19885</v>
      </c>
      <c r="O74" s="278">
        <v>22959</v>
      </c>
      <c r="P74" s="278">
        <v>23618</v>
      </c>
      <c r="Q74" s="278">
        <v>25662</v>
      </c>
      <c r="R74" s="278">
        <v>22277</v>
      </c>
      <c r="S74" s="278">
        <v>17390</v>
      </c>
      <c r="T74" s="278">
        <v>19746</v>
      </c>
      <c r="U74" s="278">
        <v>18615</v>
      </c>
      <c r="V74" s="278">
        <v>20444</v>
      </c>
      <c r="W74" s="278">
        <v>20662</v>
      </c>
      <c r="X74" s="278">
        <f>[9]summary!W67</f>
        <v>22061</v>
      </c>
      <c r="Y74" s="278">
        <f>[10]Summary!X67</f>
        <v>24641</v>
      </c>
      <c r="Z74" s="278">
        <f>[11]Summary!Z74</f>
        <v>23064</v>
      </c>
      <c r="AA74" s="278">
        <f>[11]Summary!AA74</f>
        <v>23386</v>
      </c>
      <c r="AB74" s="278">
        <f>'Data Entry'!$F$5</f>
        <v>5549</v>
      </c>
      <c r="AC74" s="279">
        <f>(AB74-AA74)/AA74</f>
        <v>-0.76272128623963054</v>
      </c>
    </row>
    <row r="75" spans="2:30" x14ac:dyDescent="0.25">
      <c r="B75" s="268" t="s">
        <v>47</v>
      </c>
      <c r="C75" s="274">
        <v>16435</v>
      </c>
      <c r="D75" s="274">
        <v>20929</v>
      </c>
      <c r="E75" s="274">
        <v>22605</v>
      </c>
      <c r="F75" s="274">
        <v>14834</v>
      </c>
      <c r="G75" s="275">
        <v>22936</v>
      </c>
      <c r="H75" s="276">
        <v>21886</v>
      </c>
      <c r="I75" s="276">
        <v>22869</v>
      </c>
      <c r="J75" s="275">
        <v>23231</v>
      </c>
      <c r="K75" s="275">
        <v>21364</v>
      </c>
      <c r="L75" s="277">
        <v>23055</v>
      </c>
      <c r="M75" s="277">
        <v>19681</v>
      </c>
      <c r="N75" s="278">
        <v>21213</v>
      </c>
      <c r="O75" s="278">
        <v>26510</v>
      </c>
      <c r="P75" s="278">
        <v>27240</v>
      </c>
      <c r="Q75" s="278">
        <v>30937</v>
      </c>
      <c r="R75" s="278">
        <v>25321</v>
      </c>
      <c r="S75" s="278">
        <v>20002</v>
      </c>
      <c r="T75" s="278">
        <v>21115</v>
      </c>
      <c r="U75" s="278">
        <v>22001</v>
      </c>
      <c r="V75" s="278">
        <v>22018</v>
      </c>
      <c r="W75" s="278">
        <v>25099</v>
      </c>
      <c r="X75" s="278">
        <f>[9]summary!W68</f>
        <v>25705</v>
      </c>
      <c r="Y75" s="278">
        <f>[10]Summary!X68</f>
        <v>28610</v>
      </c>
      <c r="Z75" s="278">
        <f>[11]Summary!Z75</f>
        <v>26820</v>
      </c>
      <c r="AA75" s="278">
        <f>[11]Summary!AA75</f>
        <v>26683</v>
      </c>
      <c r="AB75" s="278"/>
      <c r="AC75" s="279"/>
    </row>
    <row r="76" spans="2:30" x14ac:dyDescent="0.25">
      <c r="B76" s="280" t="s">
        <v>12</v>
      </c>
      <c r="C76" s="281">
        <v>51237</v>
      </c>
      <c r="D76" s="281">
        <v>59454</v>
      </c>
      <c r="E76" s="281">
        <v>65522</v>
      </c>
      <c r="F76" s="281">
        <v>43406</v>
      </c>
      <c r="G76" s="281">
        <v>60608</v>
      </c>
      <c r="H76" s="281">
        <v>63446</v>
      </c>
      <c r="I76" s="281">
        <v>61955</v>
      </c>
      <c r="J76" s="281">
        <v>61886</v>
      </c>
      <c r="K76" s="281">
        <v>61721</v>
      </c>
      <c r="L76" s="281">
        <v>58635</v>
      </c>
      <c r="M76" s="281">
        <v>54509</v>
      </c>
      <c r="N76" s="281">
        <v>60511</v>
      </c>
      <c r="O76" s="281">
        <v>71838</v>
      </c>
      <c r="P76" s="281">
        <v>74617</v>
      </c>
      <c r="Q76" s="281">
        <v>83665</v>
      </c>
      <c r="R76" s="281">
        <v>70901</v>
      </c>
      <c r="S76" s="281">
        <v>56685</v>
      </c>
      <c r="T76" s="281">
        <v>59861</v>
      </c>
      <c r="U76" s="281">
        <v>60018</v>
      </c>
      <c r="V76" s="281">
        <v>63067</v>
      </c>
      <c r="W76" s="281">
        <v>67164</v>
      </c>
      <c r="X76" s="281">
        <f>[9]summary!W69</f>
        <v>71952</v>
      </c>
      <c r="Y76" s="281">
        <f>[10]Summary!X69</f>
        <v>80809</v>
      </c>
      <c r="Z76" s="281">
        <f>[11]Summary!Z76</f>
        <v>74920</v>
      </c>
      <c r="AA76" s="281">
        <f>[11]Summary!AA76</f>
        <v>75283</v>
      </c>
      <c r="AB76" s="281">
        <f>SUM(AB73:AB75)</f>
        <v>16191</v>
      </c>
      <c r="AC76" s="283"/>
    </row>
    <row r="77" spans="2:30" x14ac:dyDescent="0.25">
      <c r="B77" s="268" t="s">
        <v>48</v>
      </c>
      <c r="C77" s="274">
        <v>18383</v>
      </c>
      <c r="D77" s="274">
        <v>19659</v>
      </c>
      <c r="E77" s="274">
        <v>22246</v>
      </c>
      <c r="F77" s="274">
        <v>16635</v>
      </c>
      <c r="G77" s="275">
        <v>17831</v>
      </c>
      <c r="H77" s="276">
        <v>21045</v>
      </c>
      <c r="I77" s="276">
        <v>20860</v>
      </c>
      <c r="J77" s="275">
        <v>21887</v>
      </c>
      <c r="K77" s="275">
        <v>22373</v>
      </c>
      <c r="L77" s="277">
        <v>20390</v>
      </c>
      <c r="M77" s="277">
        <v>19071</v>
      </c>
      <c r="N77" s="278">
        <v>22666</v>
      </c>
      <c r="O77" s="278">
        <v>22348</v>
      </c>
      <c r="P77" s="278">
        <v>29280</v>
      </c>
      <c r="Q77" s="278">
        <v>29012</v>
      </c>
      <c r="R77" s="278">
        <v>21795</v>
      </c>
      <c r="S77" s="278">
        <v>20530</v>
      </c>
      <c r="T77" s="278">
        <v>19776</v>
      </c>
      <c r="U77" s="278">
        <v>20716</v>
      </c>
      <c r="V77" s="278">
        <v>20114</v>
      </c>
      <c r="W77" s="278">
        <v>21093</v>
      </c>
      <c r="X77" s="278">
        <f>[9]summary!W70</f>
        <v>25037</v>
      </c>
      <c r="Y77" s="278">
        <f>[10]Summary!X70</f>
        <v>26993</v>
      </c>
      <c r="Z77" s="278">
        <f>[11]Summary!Z77</f>
        <v>23367</v>
      </c>
      <c r="AA77" s="278">
        <f>[11]Summary!AA77</f>
        <v>27087</v>
      </c>
      <c r="AB77" s="278"/>
      <c r="AC77" s="279"/>
    </row>
    <row r="78" spans="2:30" x14ac:dyDescent="0.25">
      <c r="B78" s="268" t="s">
        <v>14</v>
      </c>
      <c r="C78" s="274">
        <v>15301</v>
      </c>
      <c r="D78" s="274">
        <v>16872</v>
      </c>
      <c r="E78" s="274">
        <v>16973</v>
      </c>
      <c r="F78" s="274">
        <v>14983</v>
      </c>
      <c r="G78" s="275">
        <v>17136</v>
      </c>
      <c r="H78" s="276">
        <v>18694</v>
      </c>
      <c r="I78" s="276">
        <v>18264</v>
      </c>
      <c r="J78" s="275">
        <v>19448</v>
      </c>
      <c r="K78" s="275">
        <v>18443</v>
      </c>
      <c r="L78" s="277">
        <v>18874</v>
      </c>
      <c r="M78" s="277">
        <v>19072</v>
      </c>
      <c r="N78" s="278">
        <v>19351</v>
      </c>
      <c r="O78" s="278">
        <v>19863</v>
      </c>
      <c r="P78" s="278">
        <v>23241</v>
      </c>
      <c r="Q78" s="278">
        <v>25015</v>
      </c>
      <c r="R78" s="278">
        <v>22939</v>
      </c>
      <c r="S78" s="278">
        <v>17103</v>
      </c>
      <c r="T78" s="278">
        <v>17939</v>
      </c>
      <c r="U78" s="278">
        <v>17660</v>
      </c>
      <c r="V78" s="278">
        <v>17767</v>
      </c>
      <c r="W78" s="278">
        <v>18603</v>
      </c>
      <c r="X78" s="278">
        <f>[9]summary!W71</f>
        <v>20801</v>
      </c>
      <c r="Y78" s="278">
        <f>[10]Summary!X71</f>
        <v>21041</v>
      </c>
      <c r="Z78" s="278">
        <f>[11]Summary!Z78</f>
        <v>21011</v>
      </c>
      <c r="AA78" s="278">
        <f>[11]Summary!AA78</f>
        <v>21711</v>
      </c>
      <c r="AB78" s="278"/>
      <c r="AC78" s="279"/>
    </row>
    <row r="79" spans="2:30" x14ac:dyDescent="0.25">
      <c r="B79" s="268" t="s">
        <v>49</v>
      </c>
      <c r="C79" s="274">
        <v>13010</v>
      </c>
      <c r="D79" s="274">
        <v>13885</v>
      </c>
      <c r="E79" s="274">
        <v>15007</v>
      </c>
      <c r="F79" s="274">
        <v>12878</v>
      </c>
      <c r="G79" s="275">
        <v>14349</v>
      </c>
      <c r="H79" s="276">
        <v>15877</v>
      </c>
      <c r="I79" s="276">
        <v>16282</v>
      </c>
      <c r="J79" s="275">
        <v>18049</v>
      </c>
      <c r="K79" s="275">
        <v>16967</v>
      </c>
      <c r="L79" s="277">
        <v>16502</v>
      </c>
      <c r="M79" s="277">
        <v>15711</v>
      </c>
      <c r="N79" s="278">
        <v>17568</v>
      </c>
      <c r="O79" s="278">
        <v>18804</v>
      </c>
      <c r="P79" s="278">
        <v>22145</v>
      </c>
      <c r="Q79" s="278">
        <v>23683</v>
      </c>
      <c r="R79" s="278">
        <v>20180</v>
      </c>
      <c r="S79" s="278">
        <v>17077</v>
      </c>
      <c r="T79" s="278">
        <v>15781</v>
      </c>
      <c r="U79" s="278">
        <v>15943</v>
      </c>
      <c r="V79" s="278">
        <v>16394</v>
      </c>
      <c r="W79" s="278">
        <v>18088</v>
      </c>
      <c r="X79" s="278">
        <f>[9]summary!W72</f>
        <v>20063</v>
      </c>
      <c r="Y79" s="278">
        <f>[10]Summary!X72</f>
        <v>20164</v>
      </c>
      <c r="Z79" s="278">
        <f>[11]Summary!Z79</f>
        <v>19631</v>
      </c>
      <c r="AA79" s="278">
        <f>[11]Summary!AA79</f>
        <v>22300</v>
      </c>
      <c r="AB79" s="278"/>
      <c r="AC79" s="279"/>
    </row>
    <row r="80" spans="2:30" x14ac:dyDescent="0.25">
      <c r="B80" s="280" t="s">
        <v>16</v>
      </c>
      <c r="C80" s="281">
        <v>46694</v>
      </c>
      <c r="D80" s="281">
        <v>50416</v>
      </c>
      <c r="E80" s="281">
        <v>54226</v>
      </c>
      <c r="F80" s="281">
        <v>44496</v>
      </c>
      <c r="G80" s="281">
        <v>49316</v>
      </c>
      <c r="H80" s="281">
        <v>55616</v>
      </c>
      <c r="I80" s="281">
        <v>55406</v>
      </c>
      <c r="J80" s="281">
        <v>59384</v>
      </c>
      <c r="K80" s="281">
        <v>57783</v>
      </c>
      <c r="L80" s="281">
        <v>55766</v>
      </c>
      <c r="M80" s="281">
        <v>53854</v>
      </c>
      <c r="N80" s="281">
        <v>59585</v>
      </c>
      <c r="O80" s="281">
        <v>61015</v>
      </c>
      <c r="P80" s="281">
        <v>74666</v>
      </c>
      <c r="Q80" s="281">
        <v>77710</v>
      </c>
      <c r="R80" s="281">
        <v>64894</v>
      </c>
      <c r="S80" s="281">
        <v>54710</v>
      </c>
      <c r="T80" s="281">
        <v>53496</v>
      </c>
      <c r="U80" s="281">
        <v>54319</v>
      </c>
      <c r="V80" s="281">
        <v>54275</v>
      </c>
      <c r="W80" s="281">
        <v>57784</v>
      </c>
      <c r="X80" s="281">
        <f>[9]summary!W73</f>
        <v>65901</v>
      </c>
      <c r="Y80" s="281">
        <f>[10]Summary!X73</f>
        <v>68198</v>
      </c>
      <c r="Z80" s="281">
        <f>[11]Summary!Z80</f>
        <v>64009</v>
      </c>
      <c r="AA80" s="281">
        <f>[11]Summary!AA80</f>
        <v>71098</v>
      </c>
      <c r="AB80" s="281"/>
      <c r="AC80" s="283"/>
    </row>
    <row r="81" spans="2:30" x14ac:dyDescent="0.25">
      <c r="B81" s="268" t="s">
        <v>50</v>
      </c>
      <c r="C81" s="274">
        <v>17667</v>
      </c>
      <c r="D81" s="274">
        <v>19374</v>
      </c>
      <c r="E81" s="274">
        <v>18868</v>
      </c>
      <c r="F81" s="274">
        <v>13415</v>
      </c>
      <c r="G81" s="275">
        <v>18582</v>
      </c>
      <c r="H81" s="276">
        <v>19180</v>
      </c>
      <c r="I81" s="276">
        <v>21162</v>
      </c>
      <c r="J81" s="275">
        <v>21335</v>
      </c>
      <c r="K81" s="275">
        <v>19480</v>
      </c>
      <c r="L81" s="277">
        <v>19684</v>
      </c>
      <c r="M81" s="277">
        <v>21251</v>
      </c>
      <c r="N81" s="278">
        <v>22915</v>
      </c>
      <c r="O81" s="278">
        <v>23874</v>
      </c>
      <c r="P81" s="278">
        <v>25971</v>
      </c>
      <c r="Q81" s="278">
        <v>27506</v>
      </c>
      <c r="R81" s="278">
        <v>23647</v>
      </c>
      <c r="S81" s="278">
        <v>20124</v>
      </c>
      <c r="T81" s="278">
        <v>20138</v>
      </c>
      <c r="U81" s="278">
        <v>21349</v>
      </c>
      <c r="V81" s="278">
        <v>19014</v>
      </c>
      <c r="W81" s="278">
        <v>20410</v>
      </c>
      <c r="X81" s="278">
        <f>[9]summary!W74</f>
        <v>23583</v>
      </c>
      <c r="Y81" s="278">
        <f>[10]Summary!X74</f>
        <v>26183</v>
      </c>
      <c r="Z81" s="278">
        <f>[11]Summary!Z81</f>
        <v>26994</v>
      </c>
      <c r="AA81" s="278">
        <f>[11]Summary!AA81</f>
        <v>26954</v>
      </c>
      <c r="AB81" s="278"/>
      <c r="AC81" s="279"/>
    </row>
    <row r="82" spans="2:30" x14ac:dyDescent="0.25">
      <c r="B82" s="268" t="s">
        <v>51</v>
      </c>
      <c r="C82" s="274">
        <v>18924</v>
      </c>
      <c r="D82" s="274">
        <v>21300</v>
      </c>
      <c r="E82" s="274">
        <v>22018</v>
      </c>
      <c r="F82" s="274">
        <v>18597</v>
      </c>
      <c r="G82" s="275">
        <v>21238</v>
      </c>
      <c r="H82" s="276">
        <v>21337</v>
      </c>
      <c r="I82" s="276">
        <v>23064</v>
      </c>
      <c r="J82" s="275">
        <v>21881</v>
      </c>
      <c r="K82" s="275">
        <v>21224</v>
      </c>
      <c r="L82" s="277">
        <v>22176</v>
      </c>
      <c r="M82" s="277">
        <v>23277</v>
      </c>
      <c r="N82" s="278">
        <v>24132</v>
      </c>
      <c r="O82" s="278">
        <v>22398</v>
      </c>
      <c r="P82" s="278">
        <v>26584</v>
      </c>
      <c r="Q82" s="278">
        <v>28596</v>
      </c>
      <c r="R82" s="278">
        <v>25244</v>
      </c>
      <c r="S82" s="278">
        <v>20428</v>
      </c>
      <c r="T82" s="278">
        <v>19715</v>
      </c>
      <c r="U82" s="278">
        <v>16979</v>
      </c>
      <c r="V82" s="278">
        <v>20943</v>
      </c>
      <c r="W82" s="278">
        <v>23622</v>
      </c>
      <c r="X82" s="278">
        <f>[9]summary!W75</f>
        <v>25217</v>
      </c>
      <c r="Y82" s="278">
        <f>[10]Summary!X75</f>
        <v>24788</v>
      </c>
      <c r="Z82" s="278">
        <f>[11]Summary!Z82</f>
        <v>23700</v>
      </c>
      <c r="AA82" s="278">
        <f>[11]Summary!AA82</f>
        <v>26147</v>
      </c>
      <c r="AB82" s="278"/>
      <c r="AC82" s="279"/>
    </row>
    <row r="83" spans="2:30" x14ac:dyDescent="0.25">
      <c r="B83" s="268" t="s">
        <v>19</v>
      </c>
      <c r="C83" s="274">
        <v>11615</v>
      </c>
      <c r="D83" s="274">
        <v>12308</v>
      </c>
      <c r="E83" s="274">
        <v>5875</v>
      </c>
      <c r="F83" s="274">
        <v>8971</v>
      </c>
      <c r="G83" s="275">
        <v>9696</v>
      </c>
      <c r="H83" s="276">
        <v>10239</v>
      </c>
      <c r="I83" s="276">
        <v>12422</v>
      </c>
      <c r="J83" s="275">
        <v>11443</v>
      </c>
      <c r="K83" s="275">
        <v>10685</v>
      </c>
      <c r="L83" s="277">
        <v>10570</v>
      </c>
      <c r="M83" s="277">
        <v>10982</v>
      </c>
      <c r="N83" s="278">
        <v>12418</v>
      </c>
      <c r="O83" s="278">
        <v>12371</v>
      </c>
      <c r="P83" s="278">
        <v>15229</v>
      </c>
      <c r="Q83" s="278">
        <v>15532</v>
      </c>
      <c r="R83" s="278">
        <v>12676</v>
      </c>
      <c r="S83" s="278">
        <v>10413</v>
      </c>
      <c r="T83" s="278">
        <v>10216</v>
      </c>
      <c r="U83" s="278">
        <v>9494</v>
      </c>
      <c r="V83" s="278">
        <v>10906</v>
      </c>
      <c r="W83" s="278">
        <v>10537</v>
      </c>
      <c r="X83" s="278">
        <f>[9]summary!W76</f>
        <v>12317</v>
      </c>
      <c r="Y83" s="278">
        <f>[10]Summary!X76</f>
        <v>12516</v>
      </c>
      <c r="Z83" s="278">
        <f>[11]Summary!Z83</f>
        <v>12468</v>
      </c>
      <c r="AA83" s="278">
        <f>[11]Summary!AA83</f>
        <v>2045</v>
      </c>
      <c r="AB83" s="278"/>
      <c r="AC83" s="279"/>
    </row>
    <row r="84" spans="2:30" x14ac:dyDescent="0.25">
      <c r="B84" s="280" t="s">
        <v>20</v>
      </c>
      <c r="C84" s="281">
        <v>48206</v>
      </c>
      <c r="D84" s="281">
        <v>52982</v>
      </c>
      <c r="E84" s="281">
        <v>46760</v>
      </c>
      <c r="F84" s="281">
        <v>40983</v>
      </c>
      <c r="G84" s="281">
        <v>49516</v>
      </c>
      <c r="H84" s="281">
        <v>50756</v>
      </c>
      <c r="I84" s="281">
        <v>56648</v>
      </c>
      <c r="J84" s="281">
        <v>54659</v>
      </c>
      <c r="K84" s="281">
        <v>51389</v>
      </c>
      <c r="L84" s="281">
        <v>52430</v>
      </c>
      <c r="M84" s="281">
        <v>55510</v>
      </c>
      <c r="N84" s="281">
        <v>59465</v>
      </c>
      <c r="O84" s="281">
        <v>58643</v>
      </c>
      <c r="P84" s="281">
        <v>67784</v>
      </c>
      <c r="Q84" s="281">
        <v>71634</v>
      </c>
      <c r="R84" s="281">
        <v>61567</v>
      </c>
      <c r="S84" s="281">
        <v>50965</v>
      </c>
      <c r="T84" s="281">
        <v>50069</v>
      </c>
      <c r="U84" s="281">
        <v>47822</v>
      </c>
      <c r="V84" s="281">
        <v>50863</v>
      </c>
      <c r="W84" s="281">
        <v>54569</v>
      </c>
      <c r="X84" s="281">
        <f>[9]summary!W77</f>
        <v>61117</v>
      </c>
      <c r="Y84" s="281">
        <f>[10]Summary!X77</f>
        <v>63487</v>
      </c>
      <c r="Z84" s="281">
        <f>[11]Summary!Z84</f>
        <v>63162</v>
      </c>
      <c r="AA84" s="281">
        <f>[11]Summary!AA84</f>
        <v>55146</v>
      </c>
      <c r="AB84" s="281"/>
      <c r="AC84" s="283"/>
    </row>
    <row r="85" spans="2:30" x14ac:dyDescent="0.25">
      <c r="B85" s="268" t="s">
        <v>21</v>
      </c>
      <c r="C85" s="274">
        <v>14012</v>
      </c>
      <c r="D85" s="274">
        <v>15399</v>
      </c>
      <c r="E85" s="274">
        <v>6685</v>
      </c>
      <c r="F85" s="274">
        <v>12587</v>
      </c>
      <c r="G85" s="275">
        <v>13524</v>
      </c>
      <c r="H85" s="276">
        <v>13751</v>
      </c>
      <c r="I85" s="276">
        <v>12907</v>
      </c>
      <c r="J85" s="275">
        <v>13196</v>
      </c>
      <c r="K85" s="275">
        <v>11007</v>
      </c>
      <c r="L85" s="277">
        <v>11482</v>
      </c>
      <c r="M85" s="277">
        <v>13341</v>
      </c>
      <c r="N85" s="278">
        <v>14048</v>
      </c>
      <c r="O85" s="278">
        <v>14032</v>
      </c>
      <c r="P85" s="278">
        <v>16546</v>
      </c>
      <c r="Q85" s="278">
        <v>16385</v>
      </c>
      <c r="R85" s="278">
        <v>13255</v>
      </c>
      <c r="S85" s="278">
        <v>14007</v>
      </c>
      <c r="T85" s="278">
        <v>12921</v>
      </c>
      <c r="U85" s="278">
        <v>12538</v>
      </c>
      <c r="V85" s="278">
        <v>12208</v>
      </c>
      <c r="W85" s="278">
        <v>12912</v>
      </c>
      <c r="X85" s="278">
        <f>[9]summary!W78</f>
        <v>13143</v>
      </c>
      <c r="Y85" s="278">
        <f>[10]Summary!X78</f>
        <v>14156</v>
      </c>
      <c r="Z85" s="278">
        <f>[11]Summary!Z85</f>
        <v>15670</v>
      </c>
      <c r="AA85" s="278">
        <f>[11]Summary!AA85</f>
        <v>3006</v>
      </c>
      <c r="AB85" s="278"/>
      <c r="AC85" s="279"/>
    </row>
    <row r="86" spans="2:30" x14ac:dyDescent="0.25">
      <c r="B86" s="268" t="s">
        <v>22</v>
      </c>
      <c r="C86" s="274">
        <v>16103</v>
      </c>
      <c r="D86" s="274">
        <v>17241</v>
      </c>
      <c r="E86" s="274">
        <v>8304</v>
      </c>
      <c r="F86" s="274">
        <v>15368</v>
      </c>
      <c r="G86" s="275">
        <v>17106</v>
      </c>
      <c r="H86" s="276">
        <v>14423</v>
      </c>
      <c r="I86" s="276">
        <v>11750</v>
      </c>
      <c r="J86" s="275">
        <v>16436</v>
      </c>
      <c r="K86" s="275">
        <v>14545</v>
      </c>
      <c r="L86" s="277">
        <v>16389</v>
      </c>
      <c r="M86" s="277">
        <v>15842</v>
      </c>
      <c r="N86" s="278">
        <v>17707</v>
      </c>
      <c r="O86" s="278">
        <v>20012</v>
      </c>
      <c r="P86" s="278">
        <v>22945</v>
      </c>
      <c r="Q86" s="278">
        <v>20053</v>
      </c>
      <c r="R86" s="278">
        <v>18599</v>
      </c>
      <c r="S86" s="278">
        <v>15850</v>
      </c>
      <c r="T86" s="278">
        <v>15810</v>
      </c>
      <c r="U86" s="278">
        <v>16397</v>
      </c>
      <c r="V86" s="278">
        <v>15308</v>
      </c>
      <c r="W86" s="278">
        <v>17671</v>
      </c>
      <c r="X86" s="278">
        <f>[9]summary!W79</f>
        <v>19872</v>
      </c>
      <c r="Y86" s="278">
        <f>[10]Summary!X79</f>
        <v>20220</v>
      </c>
      <c r="Z86" s="278">
        <f>[11]Summary!Z86</f>
        <v>19124</v>
      </c>
      <c r="AA86" s="278">
        <f>[11]Summary!AA86</f>
        <v>6481</v>
      </c>
      <c r="AB86" s="278"/>
      <c r="AC86" s="279"/>
    </row>
    <row r="87" spans="2:30" x14ac:dyDescent="0.25">
      <c r="B87" s="268" t="s">
        <v>23</v>
      </c>
      <c r="C87" s="274">
        <v>20781</v>
      </c>
      <c r="D87" s="274">
        <v>23197</v>
      </c>
      <c r="E87" s="274">
        <v>14604</v>
      </c>
      <c r="F87" s="274">
        <v>20139</v>
      </c>
      <c r="G87" s="275">
        <v>22619</v>
      </c>
      <c r="H87" s="276">
        <v>20935</v>
      </c>
      <c r="I87" s="276">
        <v>20451</v>
      </c>
      <c r="J87" s="275">
        <v>24285</v>
      </c>
      <c r="K87" s="275">
        <v>19545</v>
      </c>
      <c r="L87" s="277">
        <v>20780</v>
      </c>
      <c r="M87" s="277">
        <v>24467</v>
      </c>
      <c r="N87" s="278">
        <v>26287</v>
      </c>
      <c r="O87" s="278">
        <v>28214</v>
      </c>
      <c r="P87" s="278">
        <v>30620</v>
      </c>
      <c r="Q87" s="278">
        <v>27403</v>
      </c>
      <c r="R87" s="278">
        <v>22031</v>
      </c>
      <c r="S87" s="278">
        <v>21903</v>
      </c>
      <c r="T87" s="278">
        <v>21695</v>
      </c>
      <c r="U87" s="278">
        <v>21311</v>
      </c>
      <c r="V87" s="278">
        <v>22560</v>
      </c>
      <c r="W87" s="278">
        <v>24481</v>
      </c>
      <c r="X87" s="278">
        <f>[9]summary!W80</f>
        <v>30142</v>
      </c>
      <c r="Y87" s="278">
        <f>[10]Summary!X80</f>
        <v>26278</v>
      </c>
      <c r="Z87" s="278">
        <f>[11]Summary!Z87</f>
        <v>25817</v>
      </c>
      <c r="AA87" s="278">
        <f>[11]Summary!AA87</f>
        <v>10782</v>
      </c>
      <c r="AB87" s="278"/>
      <c r="AC87" s="279"/>
    </row>
    <row r="88" spans="2:30" x14ac:dyDescent="0.25">
      <c r="B88" s="280" t="s">
        <v>24</v>
      </c>
      <c r="C88" s="281">
        <v>50896</v>
      </c>
      <c r="D88" s="281">
        <v>55837</v>
      </c>
      <c r="E88" s="281">
        <v>29593</v>
      </c>
      <c r="F88" s="281">
        <v>48094</v>
      </c>
      <c r="G88" s="281">
        <v>53249</v>
      </c>
      <c r="H88" s="281">
        <v>49109</v>
      </c>
      <c r="I88" s="281">
        <v>45108</v>
      </c>
      <c r="J88" s="281">
        <v>53917</v>
      </c>
      <c r="K88" s="281">
        <v>45097</v>
      </c>
      <c r="L88" s="281">
        <v>48651</v>
      </c>
      <c r="M88" s="281">
        <v>53650</v>
      </c>
      <c r="N88" s="281">
        <v>58042</v>
      </c>
      <c r="O88" s="281">
        <v>62258</v>
      </c>
      <c r="P88" s="281">
        <v>70111</v>
      </c>
      <c r="Q88" s="281">
        <v>63841</v>
      </c>
      <c r="R88" s="281">
        <v>53885</v>
      </c>
      <c r="S88" s="281">
        <v>51760</v>
      </c>
      <c r="T88" s="281">
        <v>50426</v>
      </c>
      <c r="U88" s="281">
        <v>50246</v>
      </c>
      <c r="V88" s="281">
        <v>50076</v>
      </c>
      <c r="W88" s="281">
        <v>55064</v>
      </c>
      <c r="X88" s="281">
        <f>[9]summary!W81</f>
        <v>63157</v>
      </c>
      <c r="Y88" s="281">
        <f>[10]Summary!X81</f>
        <v>60654</v>
      </c>
      <c r="Z88" s="281">
        <f>[11]Summary!Z88</f>
        <v>60611</v>
      </c>
      <c r="AA88" s="281">
        <f>[11]Summary!AA88</f>
        <v>20269</v>
      </c>
      <c r="AB88" s="281"/>
      <c r="AC88" s="283"/>
    </row>
    <row r="89" spans="2:30" ht="16.5" thickBot="1" x14ac:dyDescent="0.3">
      <c r="B89" s="284" t="s">
        <v>7</v>
      </c>
      <c r="C89" s="285">
        <v>197033</v>
      </c>
      <c r="D89" s="285">
        <v>218689</v>
      </c>
      <c r="E89" s="285">
        <v>196101</v>
      </c>
      <c r="F89" s="285">
        <v>176979</v>
      </c>
      <c r="G89" s="285">
        <v>212689</v>
      </c>
      <c r="H89" s="285">
        <v>218927</v>
      </c>
      <c r="I89" s="285">
        <v>219117</v>
      </c>
      <c r="J89" s="285">
        <v>229846</v>
      </c>
      <c r="K89" s="285">
        <v>215990</v>
      </c>
      <c r="L89" s="285">
        <v>215482</v>
      </c>
      <c r="M89" s="285">
        <v>217523</v>
      </c>
      <c r="N89" s="285">
        <v>237603</v>
      </c>
      <c r="O89" s="285">
        <v>253754</v>
      </c>
      <c r="P89" s="285">
        <v>287178</v>
      </c>
      <c r="Q89" s="285">
        <v>296850</v>
      </c>
      <c r="R89" s="285">
        <v>251247</v>
      </c>
      <c r="S89" s="285">
        <v>214120</v>
      </c>
      <c r="T89" s="285">
        <v>213852</v>
      </c>
      <c r="U89" s="285">
        <v>212405</v>
      </c>
      <c r="V89" s="285">
        <v>218281</v>
      </c>
      <c r="W89" s="285">
        <v>234581</v>
      </c>
      <c r="X89" s="285">
        <f>[9]summary!W82</f>
        <v>262127</v>
      </c>
      <c r="Y89" s="285">
        <f>[10]Summary!X82</f>
        <v>273148</v>
      </c>
      <c r="Z89" s="285">
        <f>[11]Summary!Z89</f>
        <v>262702</v>
      </c>
      <c r="AA89" s="285">
        <f>[11]Summary!AA89</f>
        <v>221796</v>
      </c>
      <c r="AB89" s="285">
        <f>AB88+AB84+AB80+AB76</f>
        <v>16191</v>
      </c>
      <c r="AC89" s="286"/>
    </row>
    <row r="90" spans="2:30" x14ac:dyDescent="0.25">
      <c r="B90" s="1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6"/>
      <c r="R90" s="3"/>
      <c r="AB90" s="12"/>
      <c r="AC90" s="12"/>
    </row>
    <row r="91" spans="2:30" ht="20.25" x14ac:dyDescent="0.3">
      <c r="B91" s="287" t="s">
        <v>206</v>
      </c>
      <c r="C91" s="259"/>
      <c r="D91" s="259"/>
      <c r="E91" s="259"/>
      <c r="F91" s="259"/>
      <c r="G91" s="259"/>
      <c r="H91" s="259"/>
      <c r="I91" s="259"/>
      <c r="J91" s="259"/>
      <c r="K91" s="259"/>
      <c r="L91" s="259"/>
      <c r="M91" s="259"/>
      <c r="N91" s="259"/>
      <c r="O91" s="259"/>
      <c r="P91" s="259"/>
      <c r="Q91" s="259"/>
      <c r="R91" s="259"/>
      <c r="S91" s="259"/>
      <c r="T91" s="259"/>
      <c r="U91" s="259"/>
      <c r="V91" s="20"/>
      <c r="W91" s="20"/>
      <c r="X91" s="20"/>
      <c r="Y91" s="20"/>
      <c r="Z91" s="20"/>
      <c r="AA91" s="20"/>
      <c r="AB91" s="20"/>
      <c r="AC91" s="20"/>
    </row>
    <row r="92" spans="2:30" s="263" customFormat="1" ht="24.75" x14ac:dyDescent="0.25">
      <c r="B92" s="264" t="s">
        <v>25</v>
      </c>
      <c r="C92" s="265">
        <v>1993</v>
      </c>
      <c r="D92" s="265">
        <v>1994</v>
      </c>
      <c r="E92" s="265">
        <v>1995</v>
      </c>
      <c r="F92" s="265">
        <v>1996</v>
      </c>
      <c r="G92" s="265">
        <v>1997</v>
      </c>
      <c r="H92" s="265">
        <v>1998</v>
      </c>
      <c r="I92" s="265">
        <v>1999</v>
      </c>
      <c r="J92" s="266">
        <v>2000</v>
      </c>
      <c r="K92" s="266">
        <v>2001</v>
      </c>
      <c r="L92" s="265">
        <v>2002</v>
      </c>
      <c r="M92" s="265">
        <v>2003</v>
      </c>
      <c r="N92" s="265">
        <v>2004</v>
      </c>
      <c r="O92" s="265">
        <v>2005</v>
      </c>
      <c r="P92" s="265">
        <v>2006</v>
      </c>
      <c r="Q92" s="265">
        <v>2007</v>
      </c>
      <c r="R92" s="265">
        <v>2008</v>
      </c>
      <c r="S92" s="265">
        <v>2009</v>
      </c>
      <c r="T92" s="265">
        <v>2010</v>
      </c>
      <c r="U92" s="265">
        <v>2011</v>
      </c>
      <c r="V92" s="265">
        <v>2012</v>
      </c>
      <c r="W92" s="265">
        <v>2013</v>
      </c>
      <c r="X92" s="265">
        <v>2014</v>
      </c>
      <c r="Y92" s="265">
        <v>2015</v>
      </c>
      <c r="Z92" s="265">
        <v>2016</v>
      </c>
      <c r="AA92" s="265">
        <v>2017</v>
      </c>
      <c r="AB92" s="265">
        <v>2018</v>
      </c>
      <c r="AC92" s="267" t="s">
        <v>218</v>
      </c>
      <c r="AD92" s="258"/>
    </row>
    <row r="93" spans="2:30" x14ac:dyDescent="0.25">
      <c r="B93" s="268" t="s">
        <v>9</v>
      </c>
      <c r="C93" s="269">
        <v>17780</v>
      </c>
      <c r="D93" s="269">
        <v>19411</v>
      </c>
      <c r="E93" s="269">
        <v>22310</v>
      </c>
      <c r="F93" s="269">
        <v>13231</v>
      </c>
      <c r="G93" s="270">
        <v>19670</v>
      </c>
      <c r="H93" s="271">
        <v>21622</v>
      </c>
      <c r="I93" s="271">
        <v>20606</v>
      </c>
      <c r="J93" s="270">
        <v>18611</v>
      </c>
      <c r="K93" s="270">
        <v>21323</v>
      </c>
      <c r="L93" s="272">
        <v>17856</v>
      </c>
      <c r="M93" s="272">
        <v>18105</v>
      </c>
      <c r="N93" s="273">
        <v>20143</v>
      </c>
      <c r="O93" s="273">
        <v>22308</v>
      </c>
      <c r="P93" s="273">
        <v>23270</v>
      </c>
      <c r="Q93" s="273">
        <v>27553</v>
      </c>
      <c r="R93" s="273">
        <v>23053</v>
      </c>
      <c r="S93" s="273">
        <v>19521</v>
      </c>
      <c r="T93" s="273">
        <v>19354</v>
      </c>
      <c r="U93" s="273">
        <v>20296</v>
      </c>
      <c r="V93" s="273">
        <v>20681</v>
      </c>
      <c r="W93" s="273">
        <v>22173</v>
      </c>
      <c r="X93" s="273">
        <f>[9]summary!W86</f>
        <v>24411</v>
      </c>
      <c r="Y93" s="273">
        <f>[10]Summary!X86</f>
        <v>28428</v>
      </c>
      <c r="Z93" s="273">
        <f>[11]Summary!Z93</f>
        <v>25143</v>
      </c>
      <c r="AA93" s="273">
        <f>[11]Summary!AA93</f>
        <v>26107</v>
      </c>
      <c r="AB93" s="273">
        <f>'Data Entry'!$F$19</f>
        <v>9963</v>
      </c>
      <c r="AC93" s="279">
        <f>(AB93-AA93)/AA93</f>
        <v>-0.61837821273987814</v>
      </c>
    </row>
    <row r="94" spans="2:30" x14ac:dyDescent="0.25">
      <c r="B94" s="268" t="s">
        <v>10</v>
      </c>
      <c r="C94" s="274">
        <v>17362</v>
      </c>
      <c r="D94" s="274">
        <v>19166</v>
      </c>
      <c r="E94" s="274">
        <v>20282</v>
      </c>
      <c r="F94" s="274">
        <v>14878</v>
      </c>
      <c r="G94" s="275">
        <v>17539</v>
      </c>
      <c r="H94" s="276">
        <v>19858</v>
      </c>
      <c r="I94" s="276">
        <v>18082</v>
      </c>
      <c r="J94" s="275">
        <v>20061</v>
      </c>
      <c r="K94" s="275">
        <v>18880</v>
      </c>
      <c r="L94" s="277">
        <v>17877</v>
      </c>
      <c r="M94" s="277">
        <v>16813</v>
      </c>
      <c r="N94" s="278">
        <v>19606</v>
      </c>
      <c r="O94" s="278">
        <v>21841</v>
      </c>
      <c r="P94" s="278">
        <v>22814</v>
      </c>
      <c r="Q94" s="278">
        <v>23916</v>
      </c>
      <c r="R94" s="278">
        <v>21569</v>
      </c>
      <c r="S94" s="278">
        <v>17072</v>
      </c>
      <c r="T94" s="278">
        <v>19198</v>
      </c>
      <c r="U94" s="278">
        <v>17004</v>
      </c>
      <c r="V94" s="278">
        <v>20556</v>
      </c>
      <c r="W94" s="278">
        <v>20118</v>
      </c>
      <c r="X94" s="278">
        <f>[9]summary!W87</f>
        <v>21842</v>
      </c>
      <c r="Y94" s="278">
        <f>[10]Summary!X87</f>
        <v>24135</v>
      </c>
      <c r="Z94" s="278">
        <f>[11]Summary!Z94</f>
        <v>22544</v>
      </c>
      <c r="AA94" s="278">
        <f>[11]Summary!AA94</f>
        <v>23457</v>
      </c>
      <c r="AB94" s="278">
        <f>'Data Entry'!$F$20</f>
        <v>6066</v>
      </c>
      <c r="AC94" s="279">
        <f>(AB94-AA94)/AA94</f>
        <v>-0.74139915590228933</v>
      </c>
    </row>
    <row r="95" spans="2:30" x14ac:dyDescent="0.25">
      <c r="B95" s="268" t="s">
        <v>47</v>
      </c>
      <c r="C95" s="274">
        <v>16870</v>
      </c>
      <c r="D95" s="274">
        <v>20641</v>
      </c>
      <c r="E95" s="274">
        <v>23140</v>
      </c>
      <c r="F95" s="274">
        <v>14818</v>
      </c>
      <c r="G95" s="275">
        <v>23072</v>
      </c>
      <c r="H95" s="276">
        <v>22380</v>
      </c>
      <c r="I95" s="276">
        <v>22173</v>
      </c>
      <c r="J95" s="275">
        <v>22943</v>
      </c>
      <c r="K95" s="275">
        <v>21154</v>
      </c>
      <c r="L95" s="277">
        <v>22381</v>
      </c>
      <c r="M95" s="277">
        <v>19428</v>
      </c>
      <c r="N95" s="278">
        <v>21043</v>
      </c>
      <c r="O95" s="278">
        <v>26109</v>
      </c>
      <c r="P95" s="278">
        <v>27272</v>
      </c>
      <c r="Q95" s="278">
        <v>29858</v>
      </c>
      <c r="R95" s="278">
        <v>24835</v>
      </c>
      <c r="S95" s="278">
        <v>20031</v>
      </c>
      <c r="T95" s="278">
        <v>20576</v>
      </c>
      <c r="U95" s="278">
        <v>21668</v>
      </c>
      <c r="V95" s="278">
        <v>21701</v>
      </c>
      <c r="W95" s="278">
        <v>24801</v>
      </c>
      <c r="X95" s="278">
        <f>[9]summary!W88</f>
        <v>26223</v>
      </c>
      <c r="Y95" s="278">
        <f>[10]Summary!X88</f>
        <v>28266</v>
      </c>
      <c r="Z95" s="278">
        <f>[11]Summary!Z95</f>
        <v>26587</v>
      </c>
      <c r="AA95" s="278">
        <f>[11]Summary!AA95</f>
        <v>26969</v>
      </c>
      <c r="AB95" s="278"/>
      <c r="AC95" s="279"/>
    </row>
    <row r="96" spans="2:30" x14ac:dyDescent="0.25">
      <c r="B96" s="280" t="s">
        <v>12</v>
      </c>
      <c r="C96" s="281">
        <v>52013</v>
      </c>
      <c r="D96" s="281">
        <v>59218</v>
      </c>
      <c r="E96" s="281">
        <v>65732</v>
      </c>
      <c r="F96" s="281">
        <v>42927</v>
      </c>
      <c r="G96" s="281">
        <v>60281</v>
      </c>
      <c r="H96" s="281">
        <v>63860</v>
      </c>
      <c r="I96" s="281">
        <v>60861</v>
      </c>
      <c r="J96" s="281">
        <v>61615</v>
      </c>
      <c r="K96" s="281">
        <v>61357</v>
      </c>
      <c r="L96" s="281">
        <v>58114</v>
      </c>
      <c r="M96" s="281">
        <v>54346</v>
      </c>
      <c r="N96" s="281">
        <v>60792</v>
      </c>
      <c r="O96" s="281">
        <v>70258</v>
      </c>
      <c r="P96" s="281">
        <v>73356</v>
      </c>
      <c r="Q96" s="281">
        <v>81327</v>
      </c>
      <c r="R96" s="281">
        <v>69457</v>
      </c>
      <c r="S96" s="281">
        <v>56624</v>
      </c>
      <c r="T96" s="281">
        <v>59128</v>
      </c>
      <c r="U96" s="281">
        <v>58968</v>
      </c>
      <c r="V96" s="281">
        <v>62938</v>
      </c>
      <c r="W96" s="281">
        <v>67092</v>
      </c>
      <c r="X96" s="281">
        <f>[9]summary!W89</f>
        <v>72476</v>
      </c>
      <c r="Y96" s="281">
        <f>[10]Summary!X89</f>
        <v>80829</v>
      </c>
      <c r="Z96" s="281">
        <f>[11]Summary!Z96</f>
        <v>74274</v>
      </c>
      <c r="AA96" s="281">
        <f>[11]Summary!AA96</f>
        <v>76533</v>
      </c>
      <c r="AB96" s="281">
        <f>SUM(AB93:AB95)</f>
        <v>16029</v>
      </c>
      <c r="AC96" s="283"/>
    </row>
    <row r="97" spans="2:29" x14ac:dyDescent="0.25">
      <c r="B97" s="268" t="s">
        <v>48</v>
      </c>
      <c r="C97" s="274">
        <v>18377</v>
      </c>
      <c r="D97" s="274">
        <v>20032</v>
      </c>
      <c r="E97" s="274">
        <v>22433</v>
      </c>
      <c r="F97" s="274">
        <v>16538</v>
      </c>
      <c r="G97" s="275">
        <v>17737</v>
      </c>
      <c r="H97" s="276">
        <v>20647</v>
      </c>
      <c r="I97" s="276">
        <v>21284</v>
      </c>
      <c r="J97" s="275">
        <v>22018</v>
      </c>
      <c r="K97" s="275">
        <v>21958</v>
      </c>
      <c r="L97" s="277">
        <v>20843</v>
      </c>
      <c r="M97" s="277">
        <v>19014</v>
      </c>
      <c r="N97" s="278">
        <v>22643</v>
      </c>
      <c r="O97" s="278">
        <v>22253</v>
      </c>
      <c r="P97" s="278">
        <v>28807</v>
      </c>
      <c r="Q97" s="278">
        <v>29132</v>
      </c>
      <c r="R97" s="278">
        <v>21089</v>
      </c>
      <c r="S97" s="278">
        <v>20144</v>
      </c>
      <c r="T97" s="278">
        <v>20341</v>
      </c>
      <c r="U97" s="278">
        <v>21344</v>
      </c>
      <c r="V97" s="278">
        <v>20706</v>
      </c>
      <c r="W97" s="278">
        <v>22128</v>
      </c>
      <c r="X97" s="278">
        <f>[9]summary!W90</f>
        <v>25018</v>
      </c>
      <c r="Y97" s="278">
        <f>[10]Summary!X90</f>
        <v>27653</v>
      </c>
      <c r="Z97" s="278">
        <f>[11]Summary!Z97</f>
        <v>24356</v>
      </c>
      <c r="AA97" s="278">
        <f>[11]Summary!AA97</f>
        <v>27869</v>
      </c>
      <c r="AB97" s="278"/>
      <c r="AC97" s="279"/>
    </row>
    <row r="98" spans="2:29" x14ac:dyDescent="0.25">
      <c r="B98" s="268" t="s">
        <v>14</v>
      </c>
      <c r="C98" s="274">
        <v>14936</v>
      </c>
      <c r="D98" s="274">
        <v>16677</v>
      </c>
      <c r="E98" s="274">
        <v>16617</v>
      </c>
      <c r="F98" s="274">
        <v>14848</v>
      </c>
      <c r="G98" s="275">
        <v>16714</v>
      </c>
      <c r="H98" s="276">
        <v>18621</v>
      </c>
      <c r="I98" s="276">
        <v>18073</v>
      </c>
      <c r="J98" s="275">
        <v>18047</v>
      </c>
      <c r="K98" s="275">
        <v>18294</v>
      </c>
      <c r="L98" s="277">
        <v>18916</v>
      </c>
      <c r="M98" s="277">
        <v>18397</v>
      </c>
      <c r="N98" s="278">
        <v>18935</v>
      </c>
      <c r="O98" s="278">
        <v>18500</v>
      </c>
      <c r="P98" s="278">
        <v>22623</v>
      </c>
      <c r="Q98" s="278">
        <v>23808</v>
      </c>
      <c r="R98" s="278">
        <v>22145</v>
      </c>
      <c r="S98" s="278">
        <v>17320</v>
      </c>
      <c r="T98" s="278">
        <v>17641</v>
      </c>
      <c r="U98" s="278">
        <v>17937</v>
      </c>
      <c r="V98" s="278">
        <v>17456</v>
      </c>
      <c r="W98" s="278">
        <v>17967</v>
      </c>
      <c r="X98" s="278">
        <f>[9]summary!W91</f>
        <v>20196</v>
      </c>
      <c r="Y98" s="278">
        <f>[10]Summary!X91</f>
        <v>20657</v>
      </c>
      <c r="Z98" s="278">
        <f>[11]Summary!Z98</f>
        <v>20204</v>
      </c>
      <c r="AA98" s="278">
        <f>[11]Summary!AA98</f>
        <v>20674</v>
      </c>
      <c r="AB98" s="278"/>
      <c r="AC98" s="279"/>
    </row>
    <row r="99" spans="2:29" x14ac:dyDescent="0.25">
      <c r="B99" s="268" t="s">
        <v>49</v>
      </c>
      <c r="C99" s="274">
        <v>12828</v>
      </c>
      <c r="D99" s="274">
        <v>13631</v>
      </c>
      <c r="E99" s="274">
        <v>15808</v>
      </c>
      <c r="F99" s="274">
        <v>12455</v>
      </c>
      <c r="G99" s="275">
        <v>14383</v>
      </c>
      <c r="H99" s="276">
        <v>15542</v>
      </c>
      <c r="I99" s="276">
        <v>16231</v>
      </c>
      <c r="J99" s="275">
        <v>17562</v>
      </c>
      <c r="K99" s="275">
        <v>16605</v>
      </c>
      <c r="L99" s="277">
        <v>16223</v>
      </c>
      <c r="M99" s="277">
        <v>15701</v>
      </c>
      <c r="N99" s="278">
        <v>17528</v>
      </c>
      <c r="O99" s="278">
        <v>17187</v>
      </c>
      <c r="P99" s="278">
        <v>21749</v>
      </c>
      <c r="Q99" s="278">
        <v>23288</v>
      </c>
      <c r="R99" s="278">
        <v>19392</v>
      </c>
      <c r="S99" s="278">
        <v>16358</v>
      </c>
      <c r="T99" s="278">
        <v>15453</v>
      </c>
      <c r="U99" s="278">
        <v>15654</v>
      </c>
      <c r="V99" s="278">
        <v>16123</v>
      </c>
      <c r="W99" s="278">
        <v>18021</v>
      </c>
      <c r="X99" s="278">
        <f>[9]summary!W92</f>
        <v>19867</v>
      </c>
      <c r="Y99" s="278">
        <f>[10]Summary!X92</f>
        <v>20010</v>
      </c>
      <c r="Z99" s="278">
        <f>[11]Summary!Z99</f>
        <v>19327</v>
      </c>
      <c r="AA99" s="278">
        <f>[11]Summary!AA99</f>
        <v>22165</v>
      </c>
      <c r="AB99" s="278"/>
      <c r="AC99" s="279"/>
    </row>
    <row r="100" spans="2:29" x14ac:dyDescent="0.25">
      <c r="B100" s="280" t="s">
        <v>16</v>
      </c>
      <c r="C100" s="281">
        <v>46141</v>
      </c>
      <c r="D100" s="281">
        <v>50340</v>
      </c>
      <c r="E100" s="281">
        <v>54858</v>
      </c>
      <c r="F100" s="281">
        <v>43841</v>
      </c>
      <c r="G100" s="281">
        <v>48834</v>
      </c>
      <c r="H100" s="281">
        <v>54810</v>
      </c>
      <c r="I100" s="281">
        <v>55588</v>
      </c>
      <c r="J100" s="281">
        <v>57627</v>
      </c>
      <c r="K100" s="281">
        <v>56857</v>
      </c>
      <c r="L100" s="281">
        <v>55982</v>
      </c>
      <c r="M100" s="281">
        <v>53112</v>
      </c>
      <c r="N100" s="281">
        <v>59106</v>
      </c>
      <c r="O100" s="281">
        <v>57940</v>
      </c>
      <c r="P100" s="281">
        <v>73179</v>
      </c>
      <c r="Q100" s="281">
        <v>76228</v>
      </c>
      <c r="R100" s="281">
        <v>62626</v>
      </c>
      <c r="S100" s="281">
        <v>53822</v>
      </c>
      <c r="T100" s="281">
        <v>53435</v>
      </c>
      <c r="U100" s="281">
        <v>54935</v>
      </c>
      <c r="V100" s="281">
        <v>54285</v>
      </c>
      <c r="W100" s="281">
        <v>58116</v>
      </c>
      <c r="X100" s="281">
        <f>[9]summary!W93</f>
        <v>65081</v>
      </c>
      <c r="Y100" s="281">
        <f>[10]Summary!X93</f>
        <v>68320</v>
      </c>
      <c r="Z100" s="281">
        <f>[11]Summary!Z100</f>
        <v>63887</v>
      </c>
      <c r="AA100" s="281">
        <f>[11]Summary!AA100</f>
        <v>70708</v>
      </c>
      <c r="AB100" s="281"/>
      <c r="AC100" s="283"/>
    </row>
    <row r="101" spans="2:29" x14ac:dyDescent="0.25">
      <c r="B101" s="268" t="s">
        <v>50</v>
      </c>
      <c r="C101" s="274">
        <v>15998</v>
      </c>
      <c r="D101" s="274">
        <v>17617</v>
      </c>
      <c r="E101" s="274">
        <v>18288</v>
      </c>
      <c r="F101" s="274">
        <v>12547</v>
      </c>
      <c r="G101" s="275">
        <v>17464</v>
      </c>
      <c r="H101" s="276">
        <v>18067</v>
      </c>
      <c r="I101" s="276">
        <v>19336</v>
      </c>
      <c r="J101" s="275">
        <v>20830</v>
      </c>
      <c r="K101" s="275">
        <v>18549</v>
      </c>
      <c r="L101" s="277">
        <v>19003</v>
      </c>
      <c r="M101" s="277">
        <v>20092</v>
      </c>
      <c r="N101" s="278">
        <v>21576</v>
      </c>
      <c r="O101" s="278">
        <v>19938</v>
      </c>
      <c r="P101" s="278">
        <v>25211</v>
      </c>
      <c r="Q101" s="278">
        <v>26183</v>
      </c>
      <c r="R101" s="278">
        <v>21619</v>
      </c>
      <c r="S101" s="278">
        <v>19027</v>
      </c>
      <c r="T101" s="278">
        <v>18501</v>
      </c>
      <c r="U101" s="278">
        <v>18387</v>
      </c>
      <c r="V101" s="278">
        <v>18209</v>
      </c>
      <c r="W101" s="278">
        <v>20127</v>
      </c>
      <c r="X101" s="278">
        <f>[9]summary!W94</f>
        <v>22384</v>
      </c>
      <c r="Y101" s="278">
        <f>[10]Summary!X94</f>
        <v>23844</v>
      </c>
      <c r="Z101" s="278">
        <f>[11]Summary!Z101</f>
        <v>22814</v>
      </c>
      <c r="AA101" s="278">
        <f>[11]Summary!AA101</f>
        <v>26307</v>
      </c>
      <c r="AB101" s="278"/>
      <c r="AC101" s="279"/>
    </row>
    <row r="102" spans="2:29" x14ac:dyDescent="0.25">
      <c r="B102" s="268" t="s">
        <v>51</v>
      </c>
      <c r="C102" s="274">
        <v>20241</v>
      </c>
      <c r="D102" s="274">
        <v>22906</v>
      </c>
      <c r="E102" s="274">
        <v>22409</v>
      </c>
      <c r="F102" s="274">
        <v>19176</v>
      </c>
      <c r="G102" s="275">
        <v>21983</v>
      </c>
      <c r="H102" s="276">
        <v>22352</v>
      </c>
      <c r="I102" s="276">
        <v>24516</v>
      </c>
      <c r="J102" s="275">
        <v>22577</v>
      </c>
      <c r="K102" s="275">
        <v>21836</v>
      </c>
      <c r="L102" s="277">
        <v>22795</v>
      </c>
      <c r="M102" s="277">
        <v>24478</v>
      </c>
      <c r="N102" s="278">
        <v>26160</v>
      </c>
      <c r="O102" s="278">
        <v>22239</v>
      </c>
      <c r="P102" s="278">
        <v>27326</v>
      </c>
      <c r="Q102" s="278">
        <v>30106</v>
      </c>
      <c r="R102" s="278">
        <v>25548</v>
      </c>
      <c r="S102" s="278">
        <v>20943</v>
      </c>
      <c r="T102" s="278">
        <v>20875</v>
      </c>
      <c r="U102" s="278">
        <v>20189</v>
      </c>
      <c r="V102" s="278">
        <v>21632</v>
      </c>
      <c r="W102" s="278">
        <v>24604</v>
      </c>
      <c r="X102" s="278">
        <f>[9]summary!W95</f>
        <v>26637</v>
      </c>
      <c r="Y102" s="278">
        <f>[10]Summary!X95</f>
        <v>26982</v>
      </c>
      <c r="Z102" s="278">
        <f>[11]Summary!Z102</f>
        <v>27577</v>
      </c>
      <c r="AA102" s="278">
        <f>[11]Summary!AA102</f>
        <v>29615</v>
      </c>
      <c r="AB102" s="278"/>
      <c r="AC102" s="279"/>
    </row>
    <row r="103" spans="2:29" x14ac:dyDescent="0.25">
      <c r="B103" s="268" t="s">
        <v>19</v>
      </c>
      <c r="C103" s="274">
        <v>11484</v>
      </c>
      <c r="D103" s="274">
        <v>12189</v>
      </c>
      <c r="E103" s="274">
        <v>5968</v>
      </c>
      <c r="F103" s="274">
        <v>8867</v>
      </c>
      <c r="G103" s="275">
        <v>9628</v>
      </c>
      <c r="H103" s="276">
        <v>10492</v>
      </c>
      <c r="I103" s="276">
        <v>12266</v>
      </c>
      <c r="J103" s="275">
        <v>11745</v>
      </c>
      <c r="K103" s="275">
        <v>10920</v>
      </c>
      <c r="L103" s="277">
        <v>10838</v>
      </c>
      <c r="M103" s="277">
        <v>11135</v>
      </c>
      <c r="N103" s="278">
        <v>12848</v>
      </c>
      <c r="O103" s="278">
        <v>11209</v>
      </c>
      <c r="P103" s="278">
        <v>14891</v>
      </c>
      <c r="Q103" s="278">
        <v>15664</v>
      </c>
      <c r="R103" s="278">
        <v>12904</v>
      </c>
      <c r="S103" s="278">
        <v>11226</v>
      </c>
      <c r="T103" s="278">
        <v>10525</v>
      </c>
      <c r="U103" s="278">
        <v>9659</v>
      </c>
      <c r="V103" s="278">
        <v>11297</v>
      </c>
      <c r="W103" s="278">
        <v>10791</v>
      </c>
      <c r="X103" s="278">
        <f>[9]summary!W96</f>
        <v>12197</v>
      </c>
      <c r="Y103" s="278">
        <f>[10]Summary!X96</f>
        <v>12345</v>
      </c>
      <c r="Z103" s="278">
        <f>[11]Summary!Z103</f>
        <v>12294</v>
      </c>
      <c r="AA103" s="278">
        <f>[11]Summary!AA103</f>
        <v>2382</v>
      </c>
      <c r="AB103" s="278"/>
      <c r="AC103" s="279"/>
    </row>
    <row r="104" spans="2:29" x14ac:dyDescent="0.25">
      <c r="B104" s="280" t="s">
        <v>20</v>
      </c>
      <c r="C104" s="281">
        <v>47723</v>
      </c>
      <c r="D104" s="281">
        <v>52712</v>
      </c>
      <c r="E104" s="281">
        <v>46665</v>
      </c>
      <c r="F104" s="281">
        <v>40590</v>
      </c>
      <c r="G104" s="281">
        <v>49075</v>
      </c>
      <c r="H104" s="281">
        <v>50911</v>
      </c>
      <c r="I104" s="281">
        <v>56118</v>
      </c>
      <c r="J104" s="281">
        <v>55152</v>
      </c>
      <c r="K104" s="281">
        <v>51305</v>
      </c>
      <c r="L104" s="281">
        <v>52636</v>
      </c>
      <c r="M104" s="281">
        <v>55705</v>
      </c>
      <c r="N104" s="281">
        <v>60584</v>
      </c>
      <c r="O104" s="281">
        <v>53386</v>
      </c>
      <c r="P104" s="281">
        <v>67428</v>
      </c>
      <c r="Q104" s="281">
        <v>71953</v>
      </c>
      <c r="R104" s="281">
        <v>60071</v>
      </c>
      <c r="S104" s="281">
        <v>51196</v>
      </c>
      <c r="T104" s="281">
        <v>49901</v>
      </c>
      <c r="U104" s="281">
        <v>48225</v>
      </c>
      <c r="V104" s="281">
        <v>51138</v>
      </c>
      <c r="W104" s="281">
        <v>55522</v>
      </c>
      <c r="X104" s="281">
        <f>[9]summary!W97</f>
        <v>61218</v>
      </c>
      <c r="Y104" s="281">
        <f>[10]Summary!X97</f>
        <v>63171</v>
      </c>
      <c r="Z104" s="281">
        <f>[11]Summary!Z104</f>
        <v>62685</v>
      </c>
      <c r="AA104" s="281">
        <f>[11]Summary!AA104</f>
        <v>58304</v>
      </c>
      <c r="AB104" s="281"/>
      <c r="AC104" s="283"/>
    </row>
    <row r="105" spans="2:29" x14ac:dyDescent="0.25">
      <c r="B105" s="268" t="s">
        <v>21</v>
      </c>
      <c r="C105" s="274">
        <v>13391</v>
      </c>
      <c r="D105" s="274">
        <v>14577</v>
      </c>
      <c r="E105" s="274">
        <v>6483</v>
      </c>
      <c r="F105" s="274">
        <v>11939</v>
      </c>
      <c r="G105" s="275">
        <v>12866</v>
      </c>
      <c r="H105" s="276">
        <v>13098</v>
      </c>
      <c r="I105" s="276">
        <v>12212</v>
      </c>
      <c r="J105" s="275">
        <v>12688</v>
      </c>
      <c r="K105" s="275">
        <v>10199</v>
      </c>
      <c r="L105" s="277">
        <v>12057</v>
      </c>
      <c r="M105" s="277">
        <v>12547</v>
      </c>
      <c r="N105" s="278">
        <v>13323</v>
      </c>
      <c r="O105" s="278">
        <v>12199</v>
      </c>
      <c r="P105" s="278">
        <v>15412</v>
      </c>
      <c r="Q105" s="278">
        <v>15156</v>
      </c>
      <c r="R105" s="278">
        <v>12466</v>
      </c>
      <c r="S105" s="278">
        <v>13258</v>
      </c>
      <c r="T105" s="278">
        <v>12428</v>
      </c>
      <c r="U105" s="278">
        <v>11799</v>
      </c>
      <c r="V105" s="278">
        <v>11469</v>
      </c>
      <c r="W105" s="278">
        <v>12286</v>
      </c>
      <c r="X105" s="278">
        <f>[9]summary!W98</f>
        <v>12441</v>
      </c>
      <c r="Y105" s="278">
        <f>[10]Summary!X98</f>
        <v>13310</v>
      </c>
      <c r="Z105" s="278">
        <f>[11]Summary!Z105</f>
        <v>14632</v>
      </c>
      <c r="AA105" s="278">
        <f>[11]Summary!AA105</f>
        <v>2840</v>
      </c>
      <c r="AB105" s="278"/>
      <c r="AC105" s="279"/>
    </row>
    <row r="106" spans="2:29" x14ac:dyDescent="0.25">
      <c r="B106" s="268" t="s">
        <v>22</v>
      </c>
      <c r="C106" s="274">
        <v>15703</v>
      </c>
      <c r="D106" s="274">
        <v>17189</v>
      </c>
      <c r="E106" s="274">
        <v>7802</v>
      </c>
      <c r="F106" s="274">
        <v>14754</v>
      </c>
      <c r="G106" s="275">
        <v>16396</v>
      </c>
      <c r="H106" s="276">
        <v>13654</v>
      </c>
      <c r="I106" s="276">
        <v>12013</v>
      </c>
      <c r="J106" s="275">
        <v>16163</v>
      </c>
      <c r="K106" s="275">
        <v>13565</v>
      </c>
      <c r="L106" s="277">
        <v>15429</v>
      </c>
      <c r="M106" s="277">
        <v>14992</v>
      </c>
      <c r="N106" s="278">
        <v>17324</v>
      </c>
      <c r="O106" s="278">
        <v>18863</v>
      </c>
      <c r="P106" s="278">
        <v>21888</v>
      </c>
      <c r="Q106" s="278">
        <v>18953</v>
      </c>
      <c r="R106" s="278">
        <v>17308</v>
      </c>
      <c r="S106" s="278">
        <v>15023</v>
      </c>
      <c r="T106" s="278">
        <v>15109</v>
      </c>
      <c r="U106" s="278">
        <v>15788</v>
      </c>
      <c r="V106" s="278">
        <v>14902</v>
      </c>
      <c r="W106" s="278">
        <v>17759</v>
      </c>
      <c r="X106" s="278">
        <f>[9]summary!W99</f>
        <v>18955</v>
      </c>
      <c r="Y106" s="278">
        <f>[10]Summary!X99</f>
        <v>17016</v>
      </c>
      <c r="Z106" s="278">
        <f>[11]Summary!Z106</f>
        <v>18434</v>
      </c>
      <c r="AA106" s="278">
        <f>[11]Summary!AA106</f>
        <v>6163</v>
      </c>
      <c r="AB106" s="278"/>
      <c r="AC106" s="279"/>
    </row>
    <row r="107" spans="2:29" x14ac:dyDescent="0.25">
      <c r="B107" s="268" t="s">
        <v>23</v>
      </c>
      <c r="C107" s="274">
        <v>19566</v>
      </c>
      <c r="D107" s="274">
        <v>21787</v>
      </c>
      <c r="E107" s="274">
        <v>13681</v>
      </c>
      <c r="F107" s="274">
        <v>19154</v>
      </c>
      <c r="G107" s="275">
        <v>21412</v>
      </c>
      <c r="H107" s="276">
        <v>19624</v>
      </c>
      <c r="I107" s="276">
        <v>18968</v>
      </c>
      <c r="J107" s="275">
        <v>22254</v>
      </c>
      <c r="K107" s="275">
        <v>18450</v>
      </c>
      <c r="L107" s="277">
        <v>20967</v>
      </c>
      <c r="M107" s="277">
        <v>23034</v>
      </c>
      <c r="N107" s="278">
        <v>24324</v>
      </c>
      <c r="O107" s="278">
        <v>26653</v>
      </c>
      <c r="P107" s="278">
        <v>28886</v>
      </c>
      <c r="Q107" s="278">
        <v>25338</v>
      </c>
      <c r="R107" s="278">
        <v>20950</v>
      </c>
      <c r="S107" s="278">
        <v>20511</v>
      </c>
      <c r="T107" s="278">
        <v>19688</v>
      </c>
      <c r="U107" s="278">
        <v>19765</v>
      </c>
      <c r="V107" s="278">
        <v>20742</v>
      </c>
      <c r="W107" s="278">
        <v>23109</v>
      </c>
      <c r="X107" s="278">
        <f>[9]summary!W100</f>
        <v>28161</v>
      </c>
      <c r="Y107" s="278">
        <f>[10]Summary!X100</f>
        <v>24937</v>
      </c>
      <c r="Z107" s="278">
        <f>[11]Summary!Z107</f>
        <v>24265</v>
      </c>
      <c r="AA107" s="278">
        <f>[11]Summary!AA107</f>
        <v>10666</v>
      </c>
      <c r="AB107" s="278"/>
      <c r="AC107" s="279"/>
    </row>
    <row r="108" spans="2:29" x14ac:dyDescent="0.25">
      <c r="B108" s="280" t="s">
        <v>24</v>
      </c>
      <c r="C108" s="281">
        <v>48660</v>
      </c>
      <c r="D108" s="281">
        <v>53553</v>
      </c>
      <c r="E108" s="281">
        <v>27966</v>
      </c>
      <c r="F108" s="281">
        <v>45847</v>
      </c>
      <c r="G108" s="281">
        <v>50674</v>
      </c>
      <c r="H108" s="281">
        <v>46376</v>
      </c>
      <c r="I108" s="281">
        <v>43192</v>
      </c>
      <c r="J108" s="281">
        <v>38417</v>
      </c>
      <c r="K108" s="281">
        <v>42214</v>
      </c>
      <c r="L108" s="281">
        <v>48453</v>
      </c>
      <c r="M108" s="281">
        <v>50573</v>
      </c>
      <c r="N108" s="281">
        <v>54971</v>
      </c>
      <c r="O108" s="281">
        <v>57715</v>
      </c>
      <c r="P108" s="281">
        <v>66186</v>
      </c>
      <c r="Q108" s="281">
        <v>59447</v>
      </c>
      <c r="R108" s="281">
        <v>50724</v>
      </c>
      <c r="S108" s="281">
        <v>48792</v>
      </c>
      <c r="T108" s="281">
        <v>47225</v>
      </c>
      <c r="U108" s="281">
        <v>47352</v>
      </c>
      <c r="V108" s="281">
        <v>47113</v>
      </c>
      <c r="W108" s="281">
        <v>53154</v>
      </c>
      <c r="X108" s="281">
        <f>[9]summary!W101</f>
        <v>59557</v>
      </c>
      <c r="Y108" s="281">
        <f>[10]Summary!X101</f>
        <v>55263</v>
      </c>
      <c r="Z108" s="281">
        <f>[11]Summary!Z108</f>
        <v>57331</v>
      </c>
      <c r="AA108" s="281">
        <f>[11]Summary!AA108</f>
        <v>19669</v>
      </c>
      <c r="AB108" s="281"/>
      <c r="AC108" s="283"/>
    </row>
    <row r="109" spans="2:29" ht="16.5" thickBot="1" x14ac:dyDescent="0.3">
      <c r="B109" s="284" t="s">
        <v>7</v>
      </c>
      <c r="C109" s="285">
        <v>194536</v>
      </c>
      <c r="D109" s="285">
        <v>215823</v>
      </c>
      <c r="E109" s="285">
        <v>195221</v>
      </c>
      <c r="F109" s="285">
        <v>173205</v>
      </c>
      <c r="G109" s="285">
        <v>208864</v>
      </c>
      <c r="H109" s="285">
        <v>215957</v>
      </c>
      <c r="I109" s="285">
        <v>215759</v>
      </c>
      <c r="J109" s="285">
        <v>170347</v>
      </c>
      <c r="K109" s="285">
        <v>211733</v>
      </c>
      <c r="L109" s="285">
        <v>215185</v>
      </c>
      <c r="M109" s="285">
        <v>213736</v>
      </c>
      <c r="N109" s="285">
        <v>235453</v>
      </c>
      <c r="O109" s="285">
        <v>239299</v>
      </c>
      <c r="P109" s="285">
        <v>280149</v>
      </c>
      <c r="Q109" s="285">
        <v>288955</v>
      </c>
      <c r="R109" s="285">
        <v>242878</v>
      </c>
      <c r="S109" s="285">
        <v>210434</v>
      </c>
      <c r="T109" s="285">
        <v>209689</v>
      </c>
      <c r="U109" s="285">
        <v>209480</v>
      </c>
      <c r="V109" s="285">
        <v>215474</v>
      </c>
      <c r="W109" s="285">
        <v>233884</v>
      </c>
      <c r="X109" s="285">
        <f>[9]summary!W102</f>
        <v>258332</v>
      </c>
      <c r="Y109" s="285">
        <f>[10]Summary!X102</f>
        <v>267583</v>
      </c>
      <c r="Z109" s="285">
        <f>[11]Summary!Z109</f>
        <v>258177</v>
      </c>
      <c r="AA109" s="285">
        <f>[11]Summary!AA109</f>
        <v>225214</v>
      </c>
      <c r="AB109" s="285">
        <f>AB108+AB104+AB100+AB96</f>
        <v>16029</v>
      </c>
      <c r="AC109" s="286"/>
    </row>
    <row r="110" spans="2:29" x14ac:dyDescent="0.25">
      <c r="B110" s="1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6"/>
      <c r="AC110" s="279"/>
    </row>
    <row r="111" spans="2:29" ht="20.25" x14ac:dyDescent="0.3">
      <c r="B111" s="287" t="s">
        <v>187</v>
      </c>
      <c r="C111" s="259"/>
      <c r="D111" s="259"/>
      <c r="E111" s="259"/>
      <c r="F111" s="259"/>
      <c r="G111" s="259"/>
      <c r="H111" s="259"/>
      <c r="I111" s="259"/>
      <c r="J111" s="259"/>
      <c r="K111" s="259"/>
      <c r="L111" s="259"/>
      <c r="M111" s="259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2:29" s="263" customFormat="1" ht="15" x14ac:dyDescent="0.25">
      <c r="B112" s="264" t="s">
        <v>25</v>
      </c>
      <c r="C112" s="265" t="s">
        <v>2</v>
      </c>
      <c r="D112" s="265" t="s">
        <v>4</v>
      </c>
      <c r="E112" s="265" t="s">
        <v>26</v>
      </c>
      <c r="F112" s="265" t="s">
        <v>5</v>
      </c>
      <c r="G112" s="265" t="s">
        <v>6</v>
      </c>
      <c r="H112" s="265" t="s">
        <v>27</v>
      </c>
      <c r="I112" s="265" t="s">
        <v>28</v>
      </c>
      <c r="J112" s="266" t="s">
        <v>29</v>
      </c>
      <c r="K112" s="266" t="s">
        <v>30</v>
      </c>
      <c r="L112" s="265" t="s">
        <v>3</v>
      </c>
      <c r="M112" s="265" t="s">
        <v>31</v>
      </c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2:29" x14ac:dyDescent="0.25">
      <c r="B113" s="268" t="s">
        <v>9</v>
      </c>
      <c r="C113" s="269">
        <f>[11]Summary!C173</f>
        <v>9395</v>
      </c>
      <c r="D113" s="269">
        <f>[11]Summary!D173</f>
        <v>1531</v>
      </c>
      <c r="E113" s="269">
        <f>[11]Summary!E173</f>
        <v>541</v>
      </c>
      <c r="F113" s="269">
        <f>[11]Summary!F173</f>
        <v>679</v>
      </c>
      <c r="G113" s="270">
        <f>[11]Summary!G173</f>
        <v>259</v>
      </c>
      <c r="H113" s="271">
        <f>[11]Summary!H173</f>
        <v>2489</v>
      </c>
      <c r="I113" s="271">
        <f>[11]Summary!I173</f>
        <v>743</v>
      </c>
      <c r="J113" s="270">
        <f>[11]Summary!J173</f>
        <v>641</v>
      </c>
      <c r="K113" s="270">
        <f>[11]Summary!K173</f>
        <v>729</v>
      </c>
      <c r="L113" s="272">
        <f>[11]Summary!L173</f>
        <v>1107</v>
      </c>
      <c r="M113" s="272">
        <f>[11]Summary!M173</f>
        <v>18114</v>
      </c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2:29" x14ac:dyDescent="0.25">
      <c r="B114" s="268" t="s">
        <v>10</v>
      </c>
      <c r="C114" s="274">
        <f>[11]Summary!C174</f>
        <v>10493</v>
      </c>
      <c r="D114" s="274">
        <f>[11]Summary!D174</f>
        <v>1332</v>
      </c>
      <c r="E114" s="274">
        <f>[11]Summary!E174</f>
        <v>641</v>
      </c>
      <c r="F114" s="274">
        <f>[11]Summary!F174</f>
        <v>284</v>
      </c>
      <c r="G114" s="275">
        <f>[11]Summary!G174</f>
        <v>170</v>
      </c>
      <c r="H114" s="276">
        <f>[11]Summary!H174</f>
        <v>2319</v>
      </c>
      <c r="I114" s="276">
        <f>[11]Summary!I174</f>
        <v>725</v>
      </c>
      <c r="J114" s="275">
        <f>[11]Summary!J174</f>
        <v>560</v>
      </c>
      <c r="K114" s="275">
        <f>[11]Summary!K174</f>
        <v>625</v>
      </c>
      <c r="L114" s="277">
        <f>[11]Summary!L174</f>
        <v>951</v>
      </c>
      <c r="M114" s="277">
        <f>[11]Summary!M174</f>
        <v>18100</v>
      </c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2:29" x14ac:dyDescent="0.25">
      <c r="B115" s="268" t="s">
        <v>47</v>
      </c>
      <c r="C115" s="274">
        <f>[11]Summary!C175</f>
        <v>11807</v>
      </c>
      <c r="D115" s="274">
        <f>[11]Summary!D175</f>
        <v>1602</v>
      </c>
      <c r="E115" s="274">
        <f>[11]Summary!E175</f>
        <v>860</v>
      </c>
      <c r="F115" s="274">
        <f>[11]Summary!F175</f>
        <v>284</v>
      </c>
      <c r="G115" s="275">
        <f>[11]Summary!G175</f>
        <v>416</v>
      </c>
      <c r="H115" s="276">
        <f>[11]Summary!H175</f>
        <v>2367</v>
      </c>
      <c r="I115" s="276">
        <f>[11]Summary!I175</f>
        <v>559</v>
      </c>
      <c r="J115" s="275">
        <f>[11]Summary!J175</f>
        <v>620</v>
      </c>
      <c r="K115" s="275">
        <f>[11]Summary!K175</f>
        <v>622</v>
      </c>
      <c r="L115" s="277">
        <f>[11]Summary!L175</f>
        <v>775</v>
      </c>
      <c r="M115" s="277">
        <f>[11]Summary!M175</f>
        <v>19912</v>
      </c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2:29" x14ac:dyDescent="0.25">
      <c r="B116" s="280" t="s">
        <v>12</v>
      </c>
      <c r="C116" s="281">
        <f>[11]Summary!C176</f>
        <v>31695</v>
      </c>
      <c r="D116" s="281">
        <f>[11]Summary!D176</f>
        <v>4465</v>
      </c>
      <c r="E116" s="281">
        <f>[11]Summary!E176</f>
        <v>2042</v>
      </c>
      <c r="F116" s="281">
        <f>[11]Summary!F176</f>
        <v>1247</v>
      </c>
      <c r="G116" s="281">
        <f>[11]Summary!G176</f>
        <v>845</v>
      </c>
      <c r="H116" s="281">
        <f>[11]Summary!H176</f>
        <v>7175</v>
      </c>
      <c r="I116" s="281">
        <f>[11]Summary!I176</f>
        <v>2027</v>
      </c>
      <c r="J116" s="281">
        <f>[11]Summary!J176</f>
        <v>1821</v>
      </c>
      <c r="K116" s="281">
        <f>[11]Summary!K176</f>
        <v>1976</v>
      </c>
      <c r="L116" s="281">
        <f>[11]Summary!L176</f>
        <v>2833</v>
      </c>
      <c r="M116" s="281">
        <f>[11]Summary!M176</f>
        <v>56126</v>
      </c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2:29" x14ac:dyDescent="0.25">
      <c r="B117" s="268" t="s">
        <v>48</v>
      </c>
      <c r="C117" s="274">
        <f>[11]Summary!C177</f>
        <v>11921</v>
      </c>
      <c r="D117" s="274">
        <f>[11]Summary!D177</f>
        <v>1019</v>
      </c>
      <c r="E117" s="274">
        <f>[11]Summary!E177</f>
        <v>742</v>
      </c>
      <c r="F117" s="274">
        <f>[11]Summary!F177</f>
        <v>188</v>
      </c>
      <c r="G117" s="275">
        <f>[11]Summary!G177</f>
        <v>159</v>
      </c>
      <c r="H117" s="276">
        <f>[11]Summary!H177</f>
        <v>2100</v>
      </c>
      <c r="I117" s="276">
        <f>[11]Summary!I177</f>
        <v>816</v>
      </c>
      <c r="J117" s="275">
        <f>[11]Summary!J177</f>
        <v>881</v>
      </c>
      <c r="K117" s="275">
        <f>[11]Summary!K177</f>
        <v>939</v>
      </c>
      <c r="L117" s="277">
        <f>[11]Summary!L177</f>
        <v>853</v>
      </c>
      <c r="M117" s="277">
        <f>[11]Summary!M177</f>
        <v>19618</v>
      </c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</row>
    <row r="118" spans="2:29" x14ac:dyDescent="0.25">
      <c r="B118" s="268" t="s">
        <v>14</v>
      </c>
      <c r="C118" s="274">
        <f>[11]Summary!C178</f>
        <v>9004</v>
      </c>
      <c r="D118" s="274">
        <f>[11]Summary!D178</f>
        <v>620</v>
      </c>
      <c r="E118" s="274">
        <f>[11]Summary!E178</f>
        <v>440</v>
      </c>
      <c r="F118" s="274">
        <f>[11]Summary!F178</f>
        <v>71</v>
      </c>
      <c r="G118" s="275">
        <f>[11]Summary!G178</f>
        <v>63</v>
      </c>
      <c r="H118" s="276">
        <f>[11]Summary!H178</f>
        <v>1211</v>
      </c>
      <c r="I118" s="276">
        <f>[11]Summary!I178</f>
        <v>623</v>
      </c>
      <c r="J118" s="275">
        <f>[11]Summary!J178</f>
        <v>851</v>
      </c>
      <c r="K118" s="275">
        <f>[11]Summary!K178</f>
        <v>795</v>
      </c>
      <c r="L118" s="277">
        <f>[11]Summary!L178</f>
        <v>661</v>
      </c>
      <c r="M118" s="277">
        <f>[11]Summary!M178</f>
        <v>14339</v>
      </c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</row>
    <row r="119" spans="2:29" x14ac:dyDescent="0.25">
      <c r="B119" s="268" t="s">
        <v>49</v>
      </c>
      <c r="C119" s="274">
        <f>[11]Summary!C179</f>
        <v>11320</v>
      </c>
      <c r="D119" s="274">
        <f>[11]Summary!D179</f>
        <v>509</v>
      </c>
      <c r="E119" s="274">
        <f>[11]Summary!E179</f>
        <v>377</v>
      </c>
      <c r="F119" s="274">
        <f>[11]Summary!F179</f>
        <v>74</v>
      </c>
      <c r="G119" s="275">
        <f>[11]Summary!G179</f>
        <v>60</v>
      </c>
      <c r="H119" s="276">
        <f>[11]Summary!H179</f>
        <v>1005</v>
      </c>
      <c r="I119" s="276">
        <f>[11]Summary!I179</f>
        <v>626</v>
      </c>
      <c r="J119" s="275">
        <f>[11]Summary!J179</f>
        <v>626</v>
      </c>
      <c r="K119" s="275">
        <f>[11]Summary!K179</f>
        <v>647</v>
      </c>
      <c r="L119" s="277">
        <f>[11]Summary!L179</f>
        <v>601</v>
      </c>
      <c r="M119" s="277">
        <f>[11]Summary!M179</f>
        <v>15845</v>
      </c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</row>
    <row r="120" spans="2:29" x14ac:dyDescent="0.25">
      <c r="B120" s="280" t="s">
        <v>16</v>
      </c>
      <c r="C120" s="281">
        <f>[11]Summary!C180</f>
        <v>32245</v>
      </c>
      <c r="D120" s="281">
        <f>[11]Summary!D180</f>
        <v>2148</v>
      </c>
      <c r="E120" s="281">
        <f>[11]Summary!E180</f>
        <v>1559</v>
      </c>
      <c r="F120" s="281">
        <f>[11]Summary!F180</f>
        <v>333</v>
      </c>
      <c r="G120" s="281">
        <f>[11]Summary!G180</f>
        <v>282</v>
      </c>
      <c r="H120" s="281">
        <f>[11]Summary!H180</f>
        <v>4316</v>
      </c>
      <c r="I120" s="281">
        <f>[11]Summary!I180</f>
        <v>2065</v>
      </c>
      <c r="J120" s="281">
        <f>[11]Summary!J180</f>
        <v>2358</v>
      </c>
      <c r="K120" s="281">
        <f>[11]Summary!K180</f>
        <v>2381</v>
      </c>
      <c r="L120" s="281">
        <f>[11]Summary!L180</f>
        <v>2115</v>
      </c>
      <c r="M120" s="281">
        <f>[11]Summary!M180</f>
        <v>49802</v>
      </c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</row>
    <row r="121" spans="2:29" x14ac:dyDescent="0.25">
      <c r="B121" s="268" t="s">
        <v>50</v>
      </c>
      <c r="C121" s="274">
        <f>[11]Summary!C181</f>
        <v>12241</v>
      </c>
      <c r="D121" s="274">
        <f>[11]Summary!D181</f>
        <v>653</v>
      </c>
      <c r="E121" s="274">
        <f>[11]Summary!E181</f>
        <v>564</v>
      </c>
      <c r="F121" s="274">
        <f>[11]Summary!F181</f>
        <v>133</v>
      </c>
      <c r="G121" s="275">
        <f>[11]Summary!G181</f>
        <v>47</v>
      </c>
      <c r="H121" s="276">
        <f>[11]Summary!H181</f>
        <v>1523</v>
      </c>
      <c r="I121" s="276">
        <f>[11]Summary!I181</f>
        <v>873</v>
      </c>
      <c r="J121" s="275">
        <f>[11]Summary!J181</f>
        <v>883</v>
      </c>
      <c r="K121" s="275">
        <f>[11]Summary!K181</f>
        <v>1339</v>
      </c>
      <c r="L121" s="277">
        <f>[11]Summary!L181</f>
        <v>836</v>
      </c>
      <c r="M121" s="277">
        <f>[11]Summary!M181</f>
        <v>19092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</row>
    <row r="122" spans="2:29" x14ac:dyDescent="0.25">
      <c r="B122" s="268" t="s">
        <v>51</v>
      </c>
      <c r="C122" s="274">
        <f>[11]Summary!C182</f>
        <v>9267</v>
      </c>
      <c r="D122" s="274">
        <f>[11]Summary!D182</f>
        <v>535</v>
      </c>
      <c r="E122" s="274">
        <f>[11]Summary!E182</f>
        <v>447</v>
      </c>
      <c r="F122" s="274">
        <f>[11]Summary!F182</f>
        <v>496</v>
      </c>
      <c r="G122" s="275">
        <f>[11]Summary!G182</f>
        <v>86</v>
      </c>
      <c r="H122" s="276">
        <f>[11]Summary!H182</f>
        <v>2087</v>
      </c>
      <c r="I122" s="276">
        <f>[11]Summary!I182</f>
        <v>1470</v>
      </c>
      <c r="J122" s="275">
        <f>[11]Summary!J182</f>
        <v>1246</v>
      </c>
      <c r="K122" s="275">
        <f>[11]Summary!K182</f>
        <v>1283</v>
      </c>
      <c r="L122" s="277">
        <f>[11]Summary!L182</f>
        <v>671</v>
      </c>
      <c r="M122" s="277">
        <f>[11]Summary!M182</f>
        <v>17588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</row>
    <row r="123" spans="2:29" x14ac:dyDescent="0.25">
      <c r="B123" s="268" t="s">
        <v>19</v>
      </c>
      <c r="C123" s="274">
        <f>[11]Summary!C183</f>
        <v>229</v>
      </c>
      <c r="D123" s="274">
        <f>[11]Summary!D183</f>
        <v>32</v>
      </c>
      <c r="E123" s="274">
        <f>[11]Summary!E183</f>
        <v>52</v>
      </c>
      <c r="F123" s="274">
        <f>[11]Summary!F183</f>
        <v>6</v>
      </c>
      <c r="G123" s="275">
        <f>[11]Summary!G183</f>
        <v>3</v>
      </c>
      <c r="H123" s="276">
        <f>[11]Summary!H183</f>
        <v>52</v>
      </c>
      <c r="I123" s="276">
        <f>[11]Summary!I183</f>
        <v>29</v>
      </c>
      <c r="J123" s="275">
        <f>[11]Summary!J183</f>
        <v>56</v>
      </c>
      <c r="K123" s="275">
        <f>[11]Summary!K183</f>
        <v>146</v>
      </c>
      <c r="L123" s="277">
        <f>[11]Summary!L183</f>
        <v>48</v>
      </c>
      <c r="M123" s="277">
        <f>[11]Summary!M183</f>
        <v>653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</row>
    <row r="124" spans="2:29" x14ac:dyDescent="0.25">
      <c r="B124" s="280" t="s">
        <v>20</v>
      </c>
      <c r="C124" s="281">
        <f>[11]Summary!C184</f>
        <v>21737</v>
      </c>
      <c r="D124" s="281">
        <f>[11]Summary!D184</f>
        <v>1220</v>
      </c>
      <c r="E124" s="281">
        <f>[11]Summary!E184</f>
        <v>1063</v>
      </c>
      <c r="F124" s="281">
        <f>[11]Summary!F184</f>
        <v>635</v>
      </c>
      <c r="G124" s="281">
        <f>[11]Summary!G184</f>
        <v>136</v>
      </c>
      <c r="H124" s="281">
        <f>[11]Summary!H184</f>
        <v>3662</v>
      </c>
      <c r="I124" s="281">
        <f>[11]Summary!I184</f>
        <v>2372</v>
      </c>
      <c r="J124" s="281">
        <f>[11]Summary!J184</f>
        <v>2185</v>
      </c>
      <c r="K124" s="281">
        <f>[11]Summary!K184</f>
        <v>2768</v>
      </c>
      <c r="L124" s="281">
        <f>[11]Summary!L184</f>
        <v>1555</v>
      </c>
      <c r="M124" s="281">
        <f>[11]Summary!M184</f>
        <v>37333</v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</row>
    <row r="125" spans="2:29" x14ac:dyDescent="0.25">
      <c r="B125" s="268" t="s">
        <v>21</v>
      </c>
      <c r="C125" s="274">
        <f>[11]Summary!C185</f>
        <v>242</v>
      </c>
      <c r="D125" s="274">
        <f>[11]Summary!D185</f>
        <v>18</v>
      </c>
      <c r="E125" s="274">
        <f>[11]Summary!E185</f>
        <v>81</v>
      </c>
      <c r="F125" s="274">
        <f>[11]Summary!F185</f>
        <v>1</v>
      </c>
      <c r="G125" s="275">
        <f>[11]Summary!G185</f>
        <v>1</v>
      </c>
      <c r="H125" s="276">
        <f>[11]Summary!H185</f>
        <v>75</v>
      </c>
      <c r="I125" s="276">
        <f>[11]Summary!I185</f>
        <v>36</v>
      </c>
      <c r="J125" s="275">
        <f>[11]Summary!J185</f>
        <v>120</v>
      </c>
      <c r="K125" s="275">
        <f>[11]Summary!K185</f>
        <v>209</v>
      </c>
      <c r="L125" s="277">
        <f>[11]Summary!L185</f>
        <v>50</v>
      </c>
      <c r="M125" s="277">
        <f>[11]Summary!M185</f>
        <v>833</v>
      </c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</row>
    <row r="126" spans="2:29" x14ac:dyDescent="0.25">
      <c r="B126" s="268" t="s">
        <v>22</v>
      </c>
      <c r="C126" s="274">
        <f>[11]Summary!C186</f>
        <v>724</v>
      </c>
      <c r="D126" s="274">
        <f>[11]Summary!D186</f>
        <v>104</v>
      </c>
      <c r="E126" s="274">
        <f>[11]Summary!E186</f>
        <v>183</v>
      </c>
      <c r="F126" s="274">
        <f>[11]Summary!F186</f>
        <v>11</v>
      </c>
      <c r="G126" s="275">
        <f>[11]Summary!G186</f>
        <v>12</v>
      </c>
      <c r="H126" s="276">
        <f>[11]Summary!H186</f>
        <v>160</v>
      </c>
      <c r="I126" s="276">
        <f>[11]Summary!I186</f>
        <v>274</v>
      </c>
      <c r="J126" s="275">
        <f>[11]Summary!J186</f>
        <v>350</v>
      </c>
      <c r="K126" s="275">
        <f>[11]Summary!K186</f>
        <v>410</v>
      </c>
      <c r="L126" s="277">
        <f>[11]Summary!L186</f>
        <v>124</v>
      </c>
      <c r="M126" s="277">
        <f>[11]Summary!M186</f>
        <v>2352</v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</row>
    <row r="127" spans="2:29" x14ac:dyDescent="0.25">
      <c r="B127" s="268" t="s">
        <v>23</v>
      </c>
      <c r="C127" s="274">
        <f>[11]Summary!C187</f>
        <v>1667</v>
      </c>
      <c r="D127" s="274">
        <f>[11]Summary!D187</f>
        <v>119</v>
      </c>
      <c r="E127" s="274">
        <f>[11]Summary!E187</f>
        <v>243</v>
      </c>
      <c r="F127" s="274">
        <f>[11]Summary!F187</f>
        <v>54</v>
      </c>
      <c r="G127" s="275">
        <f>[11]Summary!G187</f>
        <v>33</v>
      </c>
      <c r="H127" s="276">
        <f>[11]Summary!H187</f>
        <v>457</v>
      </c>
      <c r="I127" s="276">
        <f>[11]Summary!I187</f>
        <v>427</v>
      </c>
      <c r="J127" s="275">
        <f>[11]Summary!J187</f>
        <v>529</v>
      </c>
      <c r="K127" s="275">
        <f>[11]Summary!K187</f>
        <v>483</v>
      </c>
      <c r="L127" s="277">
        <f>[11]Summary!L187</f>
        <v>220</v>
      </c>
      <c r="M127" s="277">
        <f>[11]Summary!M187</f>
        <v>4232</v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</row>
    <row r="128" spans="2:29" x14ac:dyDescent="0.25">
      <c r="B128" s="280" t="s">
        <v>24</v>
      </c>
      <c r="C128" s="281">
        <f>[11]Summary!C188</f>
        <v>2633</v>
      </c>
      <c r="D128" s="281">
        <f>[11]Summary!D188</f>
        <v>241</v>
      </c>
      <c r="E128" s="281">
        <f>[11]Summary!E188</f>
        <v>507</v>
      </c>
      <c r="F128" s="281">
        <f>[11]Summary!F188</f>
        <v>66</v>
      </c>
      <c r="G128" s="281">
        <f>[11]Summary!G188</f>
        <v>46</v>
      </c>
      <c r="H128" s="281">
        <f>[11]Summary!H188</f>
        <v>692</v>
      </c>
      <c r="I128" s="281">
        <f>[11]Summary!I188</f>
        <v>737</v>
      </c>
      <c r="J128" s="281">
        <f>[11]Summary!J188</f>
        <v>999</v>
      </c>
      <c r="K128" s="281">
        <f>[11]Summary!K188</f>
        <v>1102</v>
      </c>
      <c r="L128" s="281">
        <f>[11]Summary!L188</f>
        <v>394</v>
      </c>
      <c r="M128" s="281">
        <f>[11]Summary!M188</f>
        <v>7417</v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</row>
    <row r="129" spans="2:29" ht="16.5" thickBot="1" x14ac:dyDescent="0.3">
      <c r="B129" s="284" t="s">
        <v>7</v>
      </c>
      <c r="C129" s="285">
        <f>[11]Summary!C189</f>
        <v>88310</v>
      </c>
      <c r="D129" s="285">
        <f>[11]Summary!D189</f>
        <v>8074</v>
      </c>
      <c r="E129" s="285">
        <f>[11]Summary!E189</f>
        <v>5171</v>
      </c>
      <c r="F129" s="285">
        <f>[11]Summary!F189</f>
        <v>2281</v>
      </c>
      <c r="G129" s="285">
        <f>[11]Summary!G189</f>
        <v>1309</v>
      </c>
      <c r="H129" s="285">
        <f>[11]Summary!H189</f>
        <v>15845</v>
      </c>
      <c r="I129" s="285">
        <f>[11]Summary!I189</f>
        <v>7201</v>
      </c>
      <c r="J129" s="285">
        <f>[11]Summary!J189</f>
        <v>7363</v>
      </c>
      <c r="K129" s="285">
        <f>[11]Summary!K189</f>
        <v>8227</v>
      </c>
      <c r="L129" s="285">
        <f>[11]Summary!L189</f>
        <v>6897</v>
      </c>
      <c r="M129" s="285">
        <f>[11]Summary!M189</f>
        <v>150678</v>
      </c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</row>
    <row r="130" spans="2:29" x14ac:dyDescent="0.25">
      <c r="B130" s="10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</row>
    <row r="131" spans="2:29" ht="20.25" x14ac:dyDescent="0.3">
      <c r="B131" s="287" t="s">
        <v>189</v>
      </c>
      <c r="C131" s="259"/>
      <c r="D131" s="259"/>
      <c r="E131" s="259"/>
      <c r="F131" s="259"/>
      <c r="G131" s="259"/>
      <c r="H131" s="259"/>
      <c r="I131" s="259"/>
      <c r="J131" s="259"/>
      <c r="K131" s="259"/>
      <c r="L131" s="259"/>
      <c r="M131" s="259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</row>
    <row r="132" spans="2:29" s="263" customFormat="1" ht="15" x14ac:dyDescent="0.25">
      <c r="B132" s="264" t="s">
        <v>25</v>
      </c>
      <c r="C132" s="265" t="s">
        <v>2</v>
      </c>
      <c r="D132" s="265" t="s">
        <v>4</v>
      </c>
      <c r="E132" s="265" t="s">
        <v>26</v>
      </c>
      <c r="F132" s="265" t="s">
        <v>5</v>
      </c>
      <c r="G132" s="265" t="s">
        <v>6</v>
      </c>
      <c r="H132" s="265" t="s">
        <v>27</v>
      </c>
      <c r="I132" s="265" t="s">
        <v>28</v>
      </c>
      <c r="J132" s="266" t="s">
        <v>29</v>
      </c>
      <c r="K132" s="266" t="s">
        <v>30</v>
      </c>
      <c r="L132" s="265" t="s">
        <v>3</v>
      </c>
      <c r="M132" s="265" t="s">
        <v>7</v>
      </c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</row>
    <row r="133" spans="2:29" x14ac:dyDescent="0.25">
      <c r="B133" s="268" t="s">
        <v>9</v>
      </c>
      <c r="C133" s="269">
        <f>[11]Summary!C193</f>
        <v>4804</v>
      </c>
      <c r="D133" s="269">
        <f>[11]Summary!D193</f>
        <v>465</v>
      </c>
      <c r="E133" s="269">
        <f>[11]Summary!E193</f>
        <v>303</v>
      </c>
      <c r="F133" s="269">
        <f>[11]Summary!F193</f>
        <v>182</v>
      </c>
      <c r="G133" s="270">
        <f>[11]Summary!G193</f>
        <v>52</v>
      </c>
      <c r="H133" s="271">
        <f>[11]Summary!H193</f>
        <v>423</v>
      </c>
      <c r="I133" s="271">
        <f>[11]Summary!I193</f>
        <v>139</v>
      </c>
      <c r="J133" s="270">
        <f>[11]Summary!J193</f>
        <v>227</v>
      </c>
      <c r="K133" s="270">
        <f>[11]Summary!K193</f>
        <v>358</v>
      </c>
      <c r="L133" s="272">
        <f>[11]Summary!L193</f>
        <v>314</v>
      </c>
      <c r="M133" s="272">
        <f>[11]Summary!M193</f>
        <v>7267</v>
      </c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</row>
    <row r="134" spans="2:29" x14ac:dyDescent="0.25">
      <c r="B134" s="268" t="s">
        <v>10</v>
      </c>
      <c r="C134" s="274">
        <f>[11]Summary!C194</f>
        <v>5707</v>
      </c>
      <c r="D134" s="274">
        <f>[11]Summary!D194</f>
        <v>472</v>
      </c>
      <c r="E134" s="274">
        <f>[11]Summary!E194</f>
        <v>314</v>
      </c>
      <c r="F134" s="274">
        <f>[11]Summary!F194</f>
        <v>119</v>
      </c>
      <c r="G134" s="275">
        <f>[11]Summary!G194</f>
        <v>33</v>
      </c>
      <c r="H134" s="276">
        <f>[11]Summary!H194</f>
        <v>365</v>
      </c>
      <c r="I134" s="276">
        <f>[11]Summary!I194</f>
        <v>135</v>
      </c>
      <c r="J134" s="275">
        <f>[11]Summary!J194</f>
        <v>203</v>
      </c>
      <c r="K134" s="275">
        <f>[11]Summary!K194</f>
        <v>340</v>
      </c>
      <c r="L134" s="277">
        <f>[11]Summary!L194</f>
        <v>246</v>
      </c>
      <c r="M134" s="277">
        <f>[11]Summary!M194</f>
        <v>7934</v>
      </c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</row>
    <row r="135" spans="2:29" x14ac:dyDescent="0.25">
      <c r="B135" s="268" t="s">
        <v>47</v>
      </c>
      <c r="C135" s="274">
        <f>[11]Summary!C195</f>
        <v>6706</v>
      </c>
      <c r="D135" s="274">
        <f>[11]Summary!D195</f>
        <v>581</v>
      </c>
      <c r="E135" s="274">
        <f>[11]Summary!E195</f>
        <v>388</v>
      </c>
      <c r="F135" s="274">
        <f>[11]Summary!F195</f>
        <v>81</v>
      </c>
      <c r="G135" s="275">
        <f>[11]Summary!G195</f>
        <v>109</v>
      </c>
      <c r="H135" s="276">
        <f>[11]Summary!H195</f>
        <v>420</v>
      </c>
      <c r="I135" s="276">
        <f>[11]Summary!I195</f>
        <v>126</v>
      </c>
      <c r="J135" s="275">
        <f>[11]Summary!J195</f>
        <v>214</v>
      </c>
      <c r="K135" s="275">
        <f>[11]Summary!K195</f>
        <v>393</v>
      </c>
      <c r="L135" s="277">
        <f>[11]Summary!L195</f>
        <v>226</v>
      </c>
      <c r="M135" s="277">
        <f>[11]Summary!M195</f>
        <v>9244</v>
      </c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</row>
    <row r="136" spans="2:29" x14ac:dyDescent="0.25">
      <c r="B136" s="280" t="s">
        <v>12</v>
      </c>
      <c r="C136" s="281">
        <f>[11]Summary!C196</f>
        <v>17217</v>
      </c>
      <c r="D136" s="281">
        <f>[11]Summary!D196</f>
        <v>1518</v>
      </c>
      <c r="E136" s="281">
        <f>[11]Summary!E196</f>
        <v>1005</v>
      </c>
      <c r="F136" s="281">
        <f>[11]Summary!F196</f>
        <v>382</v>
      </c>
      <c r="G136" s="281">
        <f>[11]Summary!G196</f>
        <v>194</v>
      </c>
      <c r="H136" s="281">
        <f>[11]Summary!H196</f>
        <v>1208</v>
      </c>
      <c r="I136" s="281">
        <f>[11]Summary!I196</f>
        <v>400</v>
      </c>
      <c r="J136" s="281">
        <f>[11]Summary!J196</f>
        <v>644</v>
      </c>
      <c r="K136" s="281">
        <f>[11]Summary!K196</f>
        <v>1091</v>
      </c>
      <c r="L136" s="281">
        <f>[11]Summary!L196</f>
        <v>786</v>
      </c>
      <c r="M136" s="281">
        <f>[11]Summary!M196</f>
        <v>24445</v>
      </c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</row>
    <row r="137" spans="2:29" x14ac:dyDescent="0.25">
      <c r="B137" s="268" t="s">
        <v>48</v>
      </c>
      <c r="C137" s="274">
        <f>[11]Summary!C197</f>
        <v>6299</v>
      </c>
      <c r="D137" s="274">
        <f>[11]Summary!D197</f>
        <v>346</v>
      </c>
      <c r="E137" s="274">
        <f>[11]Summary!E197</f>
        <v>485</v>
      </c>
      <c r="F137" s="274">
        <f>[11]Summary!F197</f>
        <v>115</v>
      </c>
      <c r="G137" s="275">
        <f>[11]Summary!G197</f>
        <v>70</v>
      </c>
      <c r="H137" s="276">
        <f>[11]Summary!H197</f>
        <v>613</v>
      </c>
      <c r="I137" s="276">
        <f>[11]Summary!I197</f>
        <v>265</v>
      </c>
      <c r="J137" s="275">
        <f>[11]Summary!J197</f>
        <v>447</v>
      </c>
      <c r="K137" s="275">
        <f>[11]Summary!K197</f>
        <v>628</v>
      </c>
      <c r="L137" s="277">
        <f>[11]Summary!L197</f>
        <v>396</v>
      </c>
      <c r="M137" s="277">
        <f>[11]Summary!M197</f>
        <v>9664</v>
      </c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</row>
    <row r="138" spans="2:29" x14ac:dyDescent="0.25">
      <c r="B138" s="268" t="s">
        <v>14</v>
      </c>
      <c r="C138" s="274">
        <f>[11]Summary!C198</f>
        <v>4664</v>
      </c>
      <c r="D138" s="274">
        <f>[11]Summary!D198</f>
        <v>243</v>
      </c>
      <c r="E138" s="274">
        <f>[11]Summary!E198</f>
        <v>324</v>
      </c>
      <c r="F138" s="274">
        <f>[11]Summary!F198</f>
        <v>45</v>
      </c>
      <c r="G138" s="275">
        <f>[11]Summary!G198</f>
        <v>28</v>
      </c>
      <c r="H138" s="276">
        <f>[11]Summary!H198</f>
        <v>388</v>
      </c>
      <c r="I138" s="276">
        <f>[11]Summary!I198</f>
        <v>210</v>
      </c>
      <c r="J138" s="275">
        <f>[11]Summary!J198</f>
        <v>398</v>
      </c>
      <c r="K138" s="275">
        <f>[11]Summary!K198</f>
        <v>485</v>
      </c>
      <c r="L138" s="277">
        <f>[11]Summary!L198</f>
        <v>315</v>
      </c>
      <c r="M138" s="277">
        <f>[11]Summary!M198</f>
        <v>7100</v>
      </c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</row>
    <row r="139" spans="2:29" x14ac:dyDescent="0.25">
      <c r="B139" s="268" t="s">
        <v>49</v>
      </c>
      <c r="C139" s="274">
        <f>[11]Summary!C199</f>
        <v>4710</v>
      </c>
      <c r="D139" s="274">
        <f>[11]Summary!D199</f>
        <v>206</v>
      </c>
      <c r="E139" s="274">
        <f>[11]Summary!E199</f>
        <v>283</v>
      </c>
      <c r="F139" s="274">
        <f>[11]Summary!F199</f>
        <v>52</v>
      </c>
      <c r="G139" s="275">
        <f>[11]Summary!G199</f>
        <v>37</v>
      </c>
      <c r="H139" s="276">
        <f>[11]Summary!H199</f>
        <v>289</v>
      </c>
      <c r="I139" s="276">
        <f>[11]Summary!I199</f>
        <v>194</v>
      </c>
      <c r="J139" s="275">
        <f>[11]Summary!J199</f>
        <v>236</v>
      </c>
      <c r="K139" s="275">
        <f>[11]Summary!K199</f>
        <v>420</v>
      </c>
      <c r="L139" s="277">
        <f>[11]Summary!L199</f>
        <v>258</v>
      </c>
      <c r="M139" s="277">
        <f>[11]Summary!M199</f>
        <v>6685</v>
      </c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</row>
    <row r="140" spans="2:29" x14ac:dyDescent="0.25">
      <c r="B140" s="280" t="s">
        <v>16</v>
      </c>
      <c r="C140" s="281">
        <f>[11]Summary!C200</f>
        <v>15673</v>
      </c>
      <c r="D140" s="281">
        <f>[11]Summary!D200</f>
        <v>795</v>
      </c>
      <c r="E140" s="281">
        <f>[11]Summary!E200</f>
        <v>1092</v>
      </c>
      <c r="F140" s="281">
        <f>[11]Summary!F200</f>
        <v>212</v>
      </c>
      <c r="G140" s="281">
        <f>[11]Summary!G200</f>
        <v>135</v>
      </c>
      <c r="H140" s="281">
        <f>[11]Summary!H200</f>
        <v>1290</v>
      </c>
      <c r="I140" s="281">
        <f>[11]Summary!I200</f>
        <v>669</v>
      </c>
      <c r="J140" s="281">
        <f>[11]Summary!J200</f>
        <v>1081</v>
      </c>
      <c r="K140" s="281">
        <f>[11]Summary!K200</f>
        <v>1533</v>
      </c>
      <c r="L140" s="281">
        <f>[11]Summary!L200</f>
        <v>969</v>
      </c>
      <c r="M140" s="281">
        <f>[11]Summary!M200</f>
        <v>23449</v>
      </c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</row>
    <row r="141" spans="2:29" x14ac:dyDescent="0.25">
      <c r="B141" s="268" t="s">
        <v>50</v>
      </c>
      <c r="C141" s="274">
        <f>[11]Summary!C201</f>
        <v>4877</v>
      </c>
      <c r="D141" s="274">
        <f>[11]Summary!D201</f>
        <v>185</v>
      </c>
      <c r="E141" s="274">
        <f>[11]Summary!E201</f>
        <v>454</v>
      </c>
      <c r="F141" s="274">
        <f>[11]Summary!F201</f>
        <v>104</v>
      </c>
      <c r="G141" s="275">
        <f>[11]Summary!G201</f>
        <v>21</v>
      </c>
      <c r="H141" s="276">
        <f>[11]Summary!H201</f>
        <v>457</v>
      </c>
      <c r="I141" s="276">
        <f>[11]Summary!I201</f>
        <v>250</v>
      </c>
      <c r="J141" s="275">
        <f>[11]Summary!J201</f>
        <v>393</v>
      </c>
      <c r="K141" s="275">
        <f>[11]Summary!K201</f>
        <v>929</v>
      </c>
      <c r="L141" s="277">
        <f>[11]Summary!L201</f>
        <v>414</v>
      </c>
      <c r="M141" s="277">
        <f>[11]Summary!M201</f>
        <v>8084</v>
      </c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</row>
    <row r="142" spans="2:29" x14ac:dyDescent="0.25">
      <c r="B142" s="268" t="s">
        <v>51</v>
      </c>
      <c r="C142" s="274">
        <f>[11]Summary!C202</f>
        <v>3409</v>
      </c>
      <c r="D142" s="274">
        <f>[11]Summary!D202</f>
        <v>119</v>
      </c>
      <c r="E142" s="274">
        <f>[11]Summary!E202</f>
        <v>343</v>
      </c>
      <c r="F142" s="274">
        <f>[11]Summary!F202</f>
        <v>290</v>
      </c>
      <c r="G142" s="275">
        <f>[11]Summary!G202</f>
        <v>35</v>
      </c>
      <c r="H142" s="276">
        <f>[11]Summary!H202</f>
        <v>526</v>
      </c>
      <c r="I142" s="276">
        <f>[11]Summary!I202</f>
        <v>780</v>
      </c>
      <c r="J142" s="275">
        <f>[11]Summary!J202</f>
        <v>770</v>
      </c>
      <c r="K142" s="275">
        <f>[11]Summary!K202</f>
        <v>864</v>
      </c>
      <c r="L142" s="277">
        <f>[11]Summary!L202</f>
        <v>292</v>
      </c>
      <c r="M142" s="277">
        <f>[11]Summary!M202</f>
        <v>7428</v>
      </c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</row>
    <row r="143" spans="2:29" x14ac:dyDescent="0.25">
      <c r="B143" s="268" t="s">
        <v>19</v>
      </c>
      <c r="C143" s="274">
        <f>[11]Summary!C203</f>
        <v>99</v>
      </c>
      <c r="D143" s="274">
        <f>[11]Summary!D203</f>
        <v>8</v>
      </c>
      <c r="E143" s="274">
        <f>[11]Summary!E203</f>
        <v>46</v>
      </c>
      <c r="F143" s="274">
        <f>[11]Summary!F203</f>
        <v>2</v>
      </c>
      <c r="G143" s="275">
        <f>[11]Summary!G203</f>
        <v>0</v>
      </c>
      <c r="H143" s="276">
        <f>[11]Summary!H203</f>
        <v>18</v>
      </c>
      <c r="I143" s="276">
        <f>[11]Summary!I203</f>
        <v>15</v>
      </c>
      <c r="J143" s="275">
        <f>[11]Summary!J203</f>
        <v>29</v>
      </c>
      <c r="K143" s="275">
        <f>[11]Summary!K203</f>
        <v>99</v>
      </c>
      <c r="L143" s="277">
        <f>[11]Summary!L203</f>
        <v>35</v>
      </c>
      <c r="M143" s="277">
        <f>[11]Summary!M203</f>
        <v>351</v>
      </c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</row>
    <row r="144" spans="2:29" x14ac:dyDescent="0.25">
      <c r="B144" s="280" t="s">
        <v>20</v>
      </c>
      <c r="C144" s="281">
        <f>[11]Summary!C204</f>
        <v>8385</v>
      </c>
      <c r="D144" s="281">
        <f>[11]Summary!D204</f>
        <v>312</v>
      </c>
      <c r="E144" s="281">
        <f>[11]Summary!E204</f>
        <v>843</v>
      </c>
      <c r="F144" s="281">
        <f>[11]Summary!F204</f>
        <v>396</v>
      </c>
      <c r="G144" s="281">
        <f>[11]Summary!G204</f>
        <v>56</v>
      </c>
      <c r="H144" s="281">
        <f>[11]Summary!H204</f>
        <v>1001</v>
      </c>
      <c r="I144" s="281">
        <f>[11]Summary!I204</f>
        <v>1045</v>
      </c>
      <c r="J144" s="281">
        <f>[11]Summary!J204</f>
        <v>1192</v>
      </c>
      <c r="K144" s="281">
        <f>[11]Summary!K204</f>
        <v>1892</v>
      </c>
      <c r="L144" s="281">
        <f>[11]Summary!L204</f>
        <v>741</v>
      </c>
      <c r="M144" s="281">
        <f>[11]Summary!M204</f>
        <v>15863</v>
      </c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</row>
    <row r="145" spans="2:29" x14ac:dyDescent="0.25">
      <c r="B145" s="268" t="s">
        <v>21</v>
      </c>
      <c r="C145" s="274">
        <f>[11]Summary!C205</f>
        <v>206</v>
      </c>
      <c r="D145" s="274">
        <f>[11]Summary!D205</f>
        <v>16</v>
      </c>
      <c r="E145" s="274">
        <f>[11]Summary!E205</f>
        <v>73</v>
      </c>
      <c r="F145" s="274">
        <f>[11]Summary!F205</f>
        <v>1</v>
      </c>
      <c r="G145" s="275">
        <f>[11]Summary!G205</f>
        <v>0</v>
      </c>
      <c r="H145" s="276">
        <f>[11]Summary!H205</f>
        <v>24</v>
      </c>
      <c r="I145" s="276">
        <f>[11]Summary!I205</f>
        <v>17</v>
      </c>
      <c r="J145" s="275">
        <f>[11]Summary!J205</f>
        <v>55</v>
      </c>
      <c r="K145" s="275">
        <f>[11]Summary!K205</f>
        <v>169</v>
      </c>
      <c r="L145" s="277">
        <f>[11]Summary!L205</f>
        <v>41</v>
      </c>
      <c r="M145" s="277">
        <f>[11]Summary!M205</f>
        <v>602</v>
      </c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</row>
    <row r="146" spans="2:29" x14ac:dyDescent="0.25">
      <c r="B146" s="268" t="s">
        <v>22</v>
      </c>
      <c r="C146" s="274">
        <f>[11]Summary!C206</f>
        <v>521</v>
      </c>
      <c r="D146" s="274">
        <f>[11]Summary!D206</f>
        <v>88</v>
      </c>
      <c r="E146" s="274">
        <f>[11]Summary!E206</f>
        <v>128</v>
      </c>
      <c r="F146" s="274">
        <f>[11]Summary!F206</f>
        <v>9</v>
      </c>
      <c r="G146" s="275">
        <f>[11]Summary!G206</f>
        <v>7</v>
      </c>
      <c r="H146" s="276">
        <f>[11]Summary!H206</f>
        <v>38</v>
      </c>
      <c r="I146" s="276">
        <f>[11]Summary!I206</f>
        <v>81</v>
      </c>
      <c r="J146" s="275">
        <f>[11]Summary!J206</f>
        <v>113</v>
      </c>
      <c r="K146" s="275">
        <f>[11]Summary!K206</f>
        <v>249</v>
      </c>
      <c r="L146" s="277">
        <f>[11]Summary!L206</f>
        <v>65</v>
      </c>
      <c r="M146" s="277">
        <f>[11]Summary!M206</f>
        <v>1299</v>
      </c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</row>
    <row r="147" spans="2:29" x14ac:dyDescent="0.25">
      <c r="B147" s="268" t="s">
        <v>23</v>
      </c>
      <c r="C147" s="274">
        <f>[11]Summary!C207</f>
        <v>1325</v>
      </c>
      <c r="D147" s="274">
        <f>[11]Summary!D207</f>
        <v>90</v>
      </c>
      <c r="E147" s="274">
        <f>[11]Summary!E207</f>
        <v>162</v>
      </c>
      <c r="F147" s="274">
        <f>[11]Summary!F207</f>
        <v>38</v>
      </c>
      <c r="G147" s="275">
        <f>[11]Summary!G207</f>
        <v>24</v>
      </c>
      <c r="H147" s="276">
        <f>[11]Summary!H207</f>
        <v>119</v>
      </c>
      <c r="I147" s="276">
        <f>[11]Summary!I207</f>
        <v>176</v>
      </c>
      <c r="J147" s="275">
        <f>[11]Summary!J207</f>
        <v>209</v>
      </c>
      <c r="K147" s="275">
        <f>[11]Summary!K207</f>
        <v>316</v>
      </c>
      <c r="L147" s="277">
        <f>[11]Summary!L207</f>
        <v>137</v>
      </c>
      <c r="M147" s="277">
        <f>[11]Summary!M207</f>
        <v>2596</v>
      </c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</row>
    <row r="148" spans="2:29" x14ac:dyDescent="0.25">
      <c r="B148" s="280" t="s">
        <v>24</v>
      </c>
      <c r="C148" s="281">
        <f>[11]Summary!C208</f>
        <v>2052</v>
      </c>
      <c r="D148" s="281">
        <f>[11]Summary!D208</f>
        <v>194</v>
      </c>
      <c r="E148" s="281">
        <f>[11]Summary!E208</f>
        <v>363</v>
      </c>
      <c r="F148" s="281">
        <f>[11]Summary!F208</f>
        <v>48</v>
      </c>
      <c r="G148" s="281">
        <f>[11]Summary!G208</f>
        <v>31</v>
      </c>
      <c r="H148" s="281">
        <f>[11]Summary!H208</f>
        <v>181</v>
      </c>
      <c r="I148" s="281">
        <f>[11]Summary!I208</f>
        <v>274</v>
      </c>
      <c r="J148" s="281">
        <f>[11]Summary!J208</f>
        <v>377</v>
      </c>
      <c r="K148" s="281">
        <f>[11]Summary!K208</f>
        <v>734</v>
      </c>
      <c r="L148" s="281">
        <f>[11]Summary!L208</f>
        <v>243</v>
      </c>
      <c r="M148" s="281">
        <f>[11]Summary!M208</f>
        <v>4497</v>
      </c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</row>
    <row r="149" spans="2:29" ht="16.5" thickBot="1" x14ac:dyDescent="0.3">
      <c r="B149" s="284" t="s">
        <v>7</v>
      </c>
      <c r="C149" s="285">
        <f>[11]Summary!C209</f>
        <v>43327</v>
      </c>
      <c r="D149" s="285">
        <f>[11]Summary!D209</f>
        <v>2819</v>
      </c>
      <c r="E149" s="285">
        <f>[11]Summary!E209</f>
        <v>3303</v>
      </c>
      <c r="F149" s="285">
        <f>[11]Summary!F209</f>
        <v>1038</v>
      </c>
      <c r="G149" s="285">
        <f>[11]Summary!G209</f>
        <v>416</v>
      </c>
      <c r="H149" s="285">
        <f>[11]Summary!H209</f>
        <v>3680</v>
      </c>
      <c r="I149" s="285">
        <f>[11]Summary!I209</f>
        <v>2388</v>
      </c>
      <c r="J149" s="285">
        <f>[11]Summary!J209</f>
        <v>3294</v>
      </c>
      <c r="K149" s="285">
        <f>[11]Summary!K209</f>
        <v>5250</v>
      </c>
      <c r="L149" s="285">
        <f>[11]Summary!L209</f>
        <v>2739</v>
      </c>
      <c r="M149" s="285">
        <f>[11]Summary!M209</f>
        <v>68254</v>
      </c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</row>
    <row r="150" spans="2:29" x14ac:dyDescent="0.25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25"/>
      <c r="O150" s="220"/>
      <c r="P150" s="220"/>
      <c r="Q150" s="220"/>
      <c r="R150" s="25"/>
      <c r="S150" s="25"/>
      <c r="T150" s="25"/>
      <c r="U150" s="25"/>
      <c r="V150" s="25"/>
      <c r="W150" s="25"/>
      <c r="X150" s="25"/>
      <c r="Y150" s="25"/>
      <c r="Z150" s="25"/>
      <c r="AA150" s="219"/>
      <c r="AB150" s="25"/>
    </row>
    <row r="151" spans="2:29" ht="20.25" x14ac:dyDescent="0.3">
      <c r="B151" s="287" t="s">
        <v>188</v>
      </c>
      <c r="C151" s="259"/>
      <c r="D151" s="259"/>
      <c r="E151" s="259"/>
      <c r="F151" s="259"/>
      <c r="G151" s="259"/>
      <c r="H151" s="259"/>
      <c r="I151" s="259"/>
      <c r="J151" s="259"/>
      <c r="K151" s="259"/>
      <c r="L151" s="259"/>
      <c r="M151" s="259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</row>
    <row r="152" spans="2:29" s="263" customFormat="1" ht="15" x14ac:dyDescent="0.25">
      <c r="B152" s="264" t="s">
        <v>25</v>
      </c>
      <c r="C152" s="265" t="s">
        <v>2</v>
      </c>
      <c r="D152" s="265" t="s">
        <v>4</v>
      </c>
      <c r="E152" s="265" t="s">
        <v>26</v>
      </c>
      <c r="F152" s="265" t="s">
        <v>5</v>
      </c>
      <c r="G152" s="265" t="s">
        <v>6</v>
      </c>
      <c r="H152" s="265" t="s">
        <v>27</v>
      </c>
      <c r="I152" s="265" t="s">
        <v>28</v>
      </c>
      <c r="J152" s="266" t="s">
        <v>29</v>
      </c>
      <c r="K152" s="266" t="s">
        <v>30</v>
      </c>
      <c r="L152" s="265" t="s">
        <v>3</v>
      </c>
      <c r="M152" s="265" t="s">
        <v>31</v>
      </c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</row>
    <row r="153" spans="2:29" x14ac:dyDescent="0.25">
      <c r="B153" s="268" t="s">
        <v>9</v>
      </c>
      <c r="C153" s="269">
        <f>[11]Summary!C213</f>
        <v>4591</v>
      </c>
      <c r="D153" s="269">
        <f>[11]Summary!D213</f>
        <v>1066</v>
      </c>
      <c r="E153" s="269">
        <f>[11]Summary!E213</f>
        <v>238</v>
      </c>
      <c r="F153" s="269">
        <f>[11]Summary!F213</f>
        <v>497</v>
      </c>
      <c r="G153" s="270">
        <f>[11]Summary!G213</f>
        <v>207</v>
      </c>
      <c r="H153" s="271">
        <f>[11]Summary!H213</f>
        <v>2066</v>
      </c>
      <c r="I153" s="271">
        <f>[11]Summary!I213</f>
        <v>604</v>
      </c>
      <c r="J153" s="270">
        <f>[11]Summary!J213</f>
        <v>414</v>
      </c>
      <c r="K153" s="270">
        <f>[11]Summary!K213</f>
        <v>371</v>
      </c>
      <c r="L153" s="272">
        <f>[11]Summary!L213</f>
        <v>793</v>
      </c>
      <c r="M153" s="272">
        <f>[11]Summary!M213</f>
        <v>10847</v>
      </c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</row>
    <row r="154" spans="2:29" x14ac:dyDescent="0.25">
      <c r="B154" s="268" t="s">
        <v>10</v>
      </c>
      <c r="C154" s="274">
        <f>[11]Summary!C214</f>
        <v>4786</v>
      </c>
      <c r="D154" s="274">
        <f>[11]Summary!D214</f>
        <v>860</v>
      </c>
      <c r="E154" s="274">
        <f>[11]Summary!E214</f>
        <v>327</v>
      </c>
      <c r="F154" s="274">
        <f>[11]Summary!F214</f>
        <v>165</v>
      </c>
      <c r="G154" s="275">
        <f>[11]Summary!G214</f>
        <v>137</v>
      </c>
      <c r="H154" s="276">
        <f>[11]Summary!H214</f>
        <v>1954</v>
      </c>
      <c r="I154" s="276">
        <f>[11]Summary!I214</f>
        <v>590</v>
      </c>
      <c r="J154" s="275">
        <f>[11]Summary!J214</f>
        <v>357</v>
      </c>
      <c r="K154" s="275">
        <f>[11]Summary!K214</f>
        <v>285</v>
      </c>
      <c r="L154" s="277">
        <f>[11]Summary!L214</f>
        <v>705</v>
      </c>
      <c r="M154" s="277">
        <f>[11]Summary!M214</f>
        <v>10166</v>
      </c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</row>
    <row r="155" spans="2:29" x14ac:dyDescent="0.25">
      <c r="B155" s="268" t="s">
        <v>47</v>
      </c>
      <c r="C155" s="274">
        <f>[11]Summary!C215</f>
        <v>5101</v>
      </c>
      <c r="D155" s="274">
        <f>[11]Summary!D215</f>
        <v>1021</v>
      </c>
      <c r="E155" s="274">
        <f>[11]Summary!E215</f>
        <v>472</v>
      </c>
      <c r="F155" s="274">
        <f>[11]Summary!F215</f>
        <v>203</v>
      </c>
      <c r="G155" s="275">
        <f>[11]Summary!G215</f>
        <v>307</v>
      </c>
      <c r="H155" s="276">
        <f>[11]Summary!H215</f>
        <v>1947</v>
      </c>
      <c r="I155" s="276">
        <f>[11]Summary!I215</f>
        <v>433</v>
      </c>
      <c r="J155" s="275">
        <f>[11]Summary!J215</f>
        <v>406</v>
      </c>
      <c r="K155" s="275">
        <f>[11]Summary!K215</f>
        <v>229</v>
      </c>
      <c r="L155" s="277">
        <f>[11]Summary!L215</f>
        <v>549</v>
      </c>
      <c r="M155" s="277">
        <f>[11]Summary!M215</f>
        <v>10668</v>
      </c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</row>
    <row r="156" spans="2:29" x14ac:dyDescent="0.25">
      <c r="B156" s="280" t="s">
        <v>12</v>
      </c>
      <c r="C156" s="281">
        <f>[11]Summary!C216</f>
        <v>14478</v>
      </c>
      <c r="D156" s="281">
        <f>[11]Summary!D216</f>
        <v>2947</v>
      </c>
      <c r="E156" s="281">
        <f>[11]Summary!E216</f>
        <v>1037</v>
      </c>
      <c r="F156" s="281">
        <f>[11]Summary!F216</f>
        <v>865</v>
      </c>
      <c r="G156" s="281">
        <f>[11]Summary!G216</f>
        <v>651</v>
      </c>
      <c r="H156" s="281">
        <f>[11]Summary!H216</f>
        <v>5967</v>
      </c>
      <c r="I156" s="281">
        <f>[11]Summary!I216</f>
        <v>1627</v>
      </c>
      <c r="J156" s="281">
        <f>[11]Summary!J216</f>
        <v>1177</v>
      </c>
      <c r="K156" s="281">
        <f>[11]Summary!K216</f>
        <v>885</v>
      </c>
      <c r="L156" s="281">
        <f>[11]Summary!L216</f>
        <v>2047</v>
      </c>
      <c r="M156" s="281">
        <f>[11]Summary!M216</f>
        <v>31681</v>
      </c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</row>
    <row r="157" spans="2:29" x14ac:dyDescent="0.25">
      <c r="B157" s="268" t="s">
        <v>48</v>
      </c>
      <c r="C157" s="274">
        <f>[11]Summary!C217</f>
        <v>5622</v>
      </c>
      <c r="D157" s="274">
        <f>[11]Summary!D217</f>
        <v>673</v>
      </c>
      <c r="E157" s="274">
        <f>[11]Summary!E217</f>
        <v>257</v>
      </c>
      <c r="F157" s="274">
        <f>[11]Summary!F217</f>
        <v>73</v>
      </c>
      <c r="G157" s="275">
        <f>[11]Summary!G217</f>
        <v>89</v>
      </c>
      <c r="H157" s="276">
        <f>[11]Summary!H217</f>
        <v>1487</v>
      </c>
      <c r="I157" s="276">
        <f>[11]Summary!I217</f>
        <v>551</v>
      </c>
      <c r="J157" s="275">
        <f>[11]Summary!J217</f>
        <v>434</v>
      </c>
      <c r="K157" s="275">
        <f>[11]Summary!K217</f>
        <v>311</v>
      </c>
      <c r="L157" s="277">
        <f>[11]Summary!L217</f>
        <v>457</v>
      </c>
      <c r="M157" s="277">
        <f>[11]Summary!M217</f>
        <v>9954</v>
      </c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</row>
    <row r="158" spans="2:29" x14ac:dyDescent="0.25">
      <c r="B158" s="268" t="s">
        <v>14</v>
      </c>
      <c r="C158" s="274">
        <f>[11]Summary!C218</f>
        <v>4340</v>
      </c>
      <c r="D158" s="274">
        <f>[11]Summary!D218</f>
        <v>377</v>
      </c>
      <c r="E158" s="274">
        <f>[11]Summary!E218</f>
        <v>116</v>
      </c>
      <c r="F158" s="274">
        <f>[11]Summary!F218</f>
        <v>26</v>
      </c>
      <c r="G158" s="275">
        <f>[11]Summary!G218</f>
        <v>35</v>
      </c>
      <c r="H158" s="276">
        <f>[11]Summary!H218</f>
        <v>823</v>
      </c>
      <c r="I158" s="276">
        <f>[11]Summary!I218</f>
        <v>413</v>
      </c>
      <c r="J158" s="275">
        <f>[11]Summary!J218</f>
        <v>453</v>
      </c>
      <c r="K158" s="275">
        <f>[11]Summary!K218</f>
        <v>310</v>
      </c>
      <c r="L158" s="277">
        <f>[11]Summary!L218</f>
        <v>346</v>
      </c>
      <c r="M158" s="277">
        <f>[11]Summary!M218</f>
        <v>7239</v>
      </c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</row>
    <row r="159" spans="2:29" x14ac:dyDescent="0.25">
      <c r="B159" s="268" t="s">
        <v>49</v>
      </c>
      <c r="C159" s="274">
        <f>[11]Summary!C219</f>
        <v>6610</v>
      </c>
      <c r="D159" s="274">
        <f>[11]Summary!D219</f>
        <v>303</v>
      </c>
      <c r="E159" s="274">
        <f>[11]Summary!E219</f>
        <v>94</v>
      </c>
      <c r="F159" s="274">
        <f>[11]Summary!F219</f>
        <v>22</v>
      </c>
      <c r="G159" s="275">
        <f>[11]Summary!G219</f>
        <v>23</v>
      </c>
      <c r="H159" s="276">
        <f>[11]Summary!H219</f>
        <v>716</v>
      </c>
      <c r="I159" s="276">
        <f>[11]Summary!I219</f>
        <v>432</v>
      </c>
      <c r="J159" s="275">
        <f>[11]Summary!J219</f>
        <v>390</v>
      </c>
      <c r="K159" s="275">
        <f>[11]Summary!K219</f>
        <v>227</v>
      </c>
      <c r="L159" s="277">
        <f>[11]Summary!L219</f>
        <v>343</v>
      </c>
      <c r="M159" s="277">
        <f>[11]Summary!M219</f>
        <v>9160</v>
      </c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</row>
    <row r="160" spans="2:29" x14ac:dyDescent="0.25">
      <c r="B160" s="280" t="s">
        <v>16</v>
      </c>
      <c r="C160" s="281">
        <f>[11]Summary!C220</f>
        <v>16572</v>
      </c>
      <c r="D160" s="281">
        <f>[11]Summary!D220</f>
        <v>1353</v>
      </c>
      <c r="E160" s="281">
        <f>[11]Summary!E220</f>
        <v>467</v>
      </c>
      <c r="F160" s="281">
        <f>[11]Summary!F220</f>
        <v>121</v>
      </c>
      <c r="G160" s="281">
        <f>[11]Summary!G220</f>
        <v>147</v>
      </c>
      <c r="H160" s="281">
        <f>[11]Summary!H220</f>
        <v>3026</v>
      </c>
      <c r="I160" s="281">
        <f>[11]Summary!I220</f>
        <v>1396</v>
      </c>
      <c r="J160" s="281">
        <f>[11]Summary!J220</f>
        <v>1277</v>
      </c>
      <c r="K160" s="281">
        <f>[11]Summary!K220</f>
        <v>848</v>
      </c>
      <c r="L160" s="281">
        <f>[11]Summary!L220</f>
        <v>1146</v>
      </c>
      <c r="M160" s="281">
        <f>[11]Summary!M220</f>
        <v>26353</v>
      </c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</row>
    <row r="161" spans="2:29" x14ac:dyDescent="0.25">
      <c r="B161" s="268" t="s">
        <v>50</v>
      </c>
      <c r="C161" s="274">
        <f>[11]Summary!C221</f>
        <v>7364</v>
      </c>
      <c r="D161" s="274">
        <f>[11]Summary!D221</f>
        <v>468</v>
      </c>
      <c r="E161" s="274">
        <f>[11]Summary!E221</f>
        <v>110</v>
      </c>
      <c r="F161" s="274">
        <f>[11]Summary!F221</f>
        <v>29</v>
      </c>
      <c r="G161" s="275">
        <f>[11]Summary!G221</f>
        <v>26</v>
      </c>
      <c r="H161" s="276">
        <f>[11]Summary!H221</f>
        <v>1066</v>
      </c>
      <c r="I161" s="276">
        <f>[11]Summary!I221</f>
        <v>623</v>
      </c>
      <c r="J161" s="275">
        <f>[11]Summary!J221</f>
        <v>490</v>
      </c>
      <c r="K161" s="275">
        <f>[11]Summary!K221</f>
        <v>410</v>
      </c>
      <c r="L161" s="277">
        <f>[11]Summary!L221</f>
        <v>422</v>
      </c>
      <c r="M161" s="277">
        <f>[11]Summary!M221</f>
        <v>11008</v>
      </c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</row>
    <row r="162" spans="2:29" x14ac:dyDescent="0.25">
      <c r="B162" s="268" t="s">
        <v>51</v>
      </c>
      <c r="C162" s="274">
        <f>[11]Summary!C222</f>
        <v>5858</v>
      </c>
      <c r="D162" s="274">
        <f>[11]Summary!D222</f>
        <v>416</v>
      </c>
      <c r="E162" s="274">
        <f>[11]Summary!E222</f>
        <v>104</v>
      </c>
      <c r="F162" s="274">
        <f>[11]Summary!F222</f>
        <v>206</v>
      </c>
      <c r="G162" s="275">
        <f>[11]Summary!G222</f>
        <v>51</v>
      </c>
      <c r="H162" s="276">
        <f>[11]Summary!H222</f>
        <v>1561</v>
      </c>
      <c r="I162" s="276">
        <f>[11]Summary!I222</f>
        <v>690</v>
      </c>
      <c r="J162" s="275">
        <f>[11]Summary!J222</f>
        <v>476</v>
      </c>
      <c r="K162" s="275">
        <f>[11]Summary!K222</f>
        <v>419</v>
      </c>
      <c r="L162" s="277">
        <f>[11]Summary!L222</f>
        <v>379</v>
      </c>
      <c r="M162" s="277">
        <f>[11]Summary!M222</f>
        <v>10160</v>
      </c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</row>
    <row r="163" spans="2:29" x14ac:dyDescent="0.25">
      <c r="B163" s="268" t="s">
        <v>19</v>
      </c>
      <c r="C163" s="274">
        <f>[11]Summary!C223</f>
        <v>130</v>
      </c>
      <c r="D163" s="274">
        <f>[11]Summary!D223</f>
        <v>24</v>
      </c>
      <c r="E163" s="274">
        <f>[11]Summary!E223</f>
        <v>6</v>
      </c>
      <c r="F163" s="274">
        <f>[11]Summary!F223</f>
        <v>4</v>
      </c>
      <c r="G163" s="275">
        <f>[11]Summary!G223</f>
        <v>3</v>
      </c>
      <c r="H163" s="276">
        <f>[11]Summary!H223</f>
        <v>34</v>
      </c>
      <c r="I163" s="276">
        <f>[11]Summary!I223</f>
        <v>14</v>
      </c>
      <c r="J163" s="275">
        <f>[11]Summary!J223</f>
        <v>27</v>
      </c>
      <c r="K163" s="275">
        <f>[11]Summary!K223</f>
        <v>47</v>
      </c>
      <c r="L163" s="277">
        <f>[11]Summary!L223</f>
        <v>13</v>
      </c>
      <c r="M163" s="277">
        <f>[11]Summary!M223</f>
        <v>302</v>
      </c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</row>
    <row r="164" spans="2:29" x14ac:dyDescent="0.25">
      <c r="B164" s="280" t="s">
        <v>20</v>
      </c>
      <c r="C164" s="281">
        <f>[11]Summary!C224</f>
        <v>13352</v>
      </c>
      <c r="D164" s="281">
        <f>[11]Summary!D224</f>
        <v>908</v>
      </c>
      <c r="E164" s="281">
        <f>[11]Summary!E224</f>
        <v>220</v>
      </c>
      <c r="F164" s="281">
        <f>[11]Summary!F224</f>
        <v>239</v>
      </c>
      <c r="G164" s="281">
        <f>[11]Summary!G224</f>
        <v>80</v>
      </c>
      <c r="H164" s="281">
        <f>[11]Summary!H224</f>
        <v>2661</v>
      </c>
      <c r="I164" s="281">
        <f>[11]Summary!I224</f>
        <v>1327</v>
      </c>
      <c r="J164" s="281">
        <f>[11]Summary!J224</f>
        <v>993</v>
      </c>
      <c r="K164" s="281">
        <f>[11]Summary!K224</f>
        <v>876</v>
      </c>
      <c r="L164" s="281">
        <f>[11]Summary!L224</f>
        <v>814</v>
      </c>
      <c r="M164" s="281">
        <f>[11]Summary!M224</f>
        <v>21470</v>
      </c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</row>
    <row r="165" spans="2:29" x14ac:dyDescent="0.25">
      <c r="B165" s="268" t="s">
        <v>21</v>
      </c>
      <c r="C165" s="274">
        <f>[11]Summary!C225</f>
        <v>36</v>
      </c>
      <c r="D165" s="274">
        <f>[11]Summary!D225</f>
        <v>2</v>
      </c>
      <c r="E165" s="274">
        <f>[11]Summary!E225</f>
        <v>8</v>
      </c>
      <c r="F165" s="274">
        <f>[11]Summary!F225</f>
        <v>0</v>
      </c>
      <c r="G165" s="275">
        <f>[11]Summary!G225</f>
        <v>1</v>
      </c>
      <c r="H165" s="276">
        <f>[11]Summary!H225</f>
        <v>51</v>
      </c>
      <c r="I165" s="276">
        <f>[11]Summary!I225</f>
        <v>19</v>
      </c>
      <c r="J165" s="275">
        <f>[11]Summary!J225</f>
        <v>65</v>
      </c>
      <c r="K165" s="275">
        <f>[11]Summary!K225</f>
        <v>40</v>
      </c>
      <c r="L165" s="277">
        <f>[11]Summary!L225</f>
        <v>9</v>
      </c>
      <c r="M165" s="277">
        <f>[11]Summary!M225</f>
        <v>231</v>
      </c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</row>
    <row r="166" spans="2:29" x14ac:dyDescent="0.25">
      <c r="B166" s="268" t="s">
        <v>22</v>
      </c>
      <c r="C166" s="274">
        <f>[11]Summary!C226</f>
        <v>203</v>
      </c>
      <c r="D166" s="274">
        <f>[11]Summary!D226</f>
        <v>16</v>
      </c>
      <c r="E166" s="274">
        <f>[11]Summary!E226</f>
        <v>55</v>
      </c>
      <c r="F166" s="274">
        <f>[11]Summary!F226</f>
        <v>2</v>
      </c>
      <c r="G166" s="275">
        <f>[11]Summary!G226</f>
        <v>5</v>
      </c>
      <c r="H166" s="276">
        <f>[11]Summary!H226</f>
        <v>122</v>
      </c>
      <c r="I166" s="276">
        <f>[11]Summary!I226</f>
        <v>193</v>
      </c>
      <c r="J166" s="275">
        <f>[11]Summary!J226</f>
        <v>237</v>
      </c>
      <c r="K166" s="275">
        <f>[11]Summary!K226</f>
        <v>161</v>
      </c>
      <c r="L166" s="277">
        <f>[11]Summary!L226</f>
        <v>59</v>
      </c>
      <c r="M166" s="277">
        <f>[11]Summary!M226</f>
        <v>1053</v>
      </c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</row>
    <row r="167" spans="2:29" x14ac:dyDescent="0.25">
      <c r="B167" s="268" t="s">
        <v>23</v>
      </c>
      <c r="C167" s="274">
        <f>[11]Summary!C227</f>
        <v>342</v>
      </c>
      <c r="D167" s="274">
        <f>[11]Summary!D227</f>
        <v>29</v>
      </c>
      <c r="E167" s="274">
        <f>[11]Summary!E227</f>
        <v>81</v>
      </c>
      <c r="F167" s="274">
        <f>[11]Summary!F227</f>
        <v>16</v>
      </c>
      <c r="G167" s="275">
        <f>[11]Summary!G227</f>
        <v>9</v>
      </c>
      <c r="H167" s="276">
        <f>[11]Summary!H227</f>
        <v>338</v>
      </c>
      <c r="I167" s="276">
        <f>[11]Summary!I227</f>
        <v>251</v>
      </c>
      <c r="J167" s="275">
        <f>[11]Summary!J227</f>
        <v>320</v>
      </c>
      <c r="K167" s="275">
        <f>[11]Summary!K227</f>
        <v>167</v>
      </c>
      <c r="L167" s="277">
        <f>[11]Summary!L227</f>
        <v>83</v>
      </c>
      <c r="M167" s="277">
        <f>[11]Summary!M227</f>
        <v>1636</v>
      </c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</row>
    <row r="168" spans="2:29" x14ac:dyDescent="0.25">
      <c r="B168" s="280" t="s">
        <v>24</v>
      </c>
      <c r="C168" s="281">
        <f>[11]Summary!C228</f>
        <v>581</v>
      </c>
      <c r="D168" s="281">
        <f>[11]Summary!D228</f>
        <v>47</v>
      </c>
      <c r="E168" s="281">
        <f>[11]Summary!E228</f>
        <v>144</v>
      </c>
      <c r="F168" s="281">
        <f>[11]Summary!F228</f>
        <v>18</v>
      </c>
      <c r="G168" s="281">
        <f>[11]Summary!G228</f>
        <v>15</v>
      </c>
      <c r="H168" s="281">
        <f>[11]Summary!H228</f>
        <v>511</v>
      </c>
      <c r="I168" s="281">
        <f>[11]Summary!I228</f>
        <v>463</v>
      </c>
      <c r="J168" s="281">
        <f>[11]Summary!J228</f>
        <v>622</v>
      </c>
      <c r="K168" s="281">
        <f>[11]Summary!K228</f>
        <v>368</v>
      </c>
      <c r="L168" s="281">
        <f>[11]Summary!L228</f>
        <v>151</v>
      </c>
      <c r="M168" s="281">
        <f>[11]Summary!M228</f>
        <v>2920</v>
      </c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</row>
    <row r="169" spans="2:29" ht="16.5" thickBot="1" x14ac:dyDescent="0.3">
      <c r="B169" s="284" t="s">
        <v>7</v>
      </c>
      <c r="C169" s="285">
        <f>[11]Summary!C229</f>
        <v>44983</v>
      </c>
      <c r="D169" s="285">
        <f>[11]Summary!D229</f>
        <v>5255</v>
      </c>
      <c r="E169" s="285">
        <f>[11]Summary!E229</f>
        <v>1868</v>
      </c>
      <c r="F169" s="285">
        <f>[11]Summary!F229</f>
        <v>1243</v>
      </c>
      <c r="G169" s="285">
        <f>[11]Summary!G229</f>
        <v>893</v>
      </c>
      <c r="H169" s="285">
        <f>[11]Summary!H229</f>
        <v>12165</v>
      </c>
      <c r="I169" s="285">
        <f>[11]Summary!I229</f>
        <v>4813</v>
      </c>
      <c r="J169" s="285">
        <f>[11]Summary!J229</f>
        <v>4069</v>
      </c>
      <c r="K169" s="285">
        <f>[11]Summary!K229</f>
        <v>2977</v>
      </c>
      <c r="L169" s="285">
        <f>[11]Summary!L229</f>
        <v>4158</v>
      </c>
      <c r="M169" s="285">
        <f>[11]Summary!M229</f>
        <v>82424</v>
      </c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</row>
    <row r="170" spans="2:29" x14ac:dyDescent="0.25">
      <c r="B170" s="19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5"/>
      <c r="O170" s="220"/>
      <c r="P170" s="220"/>
      <c r="Q170" s="220"/>
      <c r="R170" s="25"/>
      <c r="S170" s="25"/>
      <c r="T170" s="25"/>
      <c r="U170" s="25"/>
      <c r="V170" s="25"/>
      <c r="W170" s="25"/>
      <c r="X170" s="25"/>
      <c r="Y170" s="221"/>
      <c r="Z170" s="25"/>
      <c r="AA170" s="219"/>
      <c r="AB170" s="221"/>
    </row>
    <row r="171" spans="2:29" ht="20.25" x14ac:dyDescent="0.3">
      <c r="B171" s="287" t="s">
        <v>207</v>
      </c>
      <c r="C171" s="259"/>
      <c r="D171" s="259"/>
      <c r="E171" s="259"/>
      <c r="F171" s="259"/>
      <c r="G171" s="259"/>
      <c r="H171" s="259"/>
      <c r="I171" s="259"/>
      <c r="J171" s="259"/>
      <c r="K171" s="259"/>
      <c r="L171" s="259"/>
      <c r="M171" s="259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</row>
    <row r="172" spans="2:29" s="263" customFormat="1" ht="15" x14ac:dyDescent="0.25">
      <c r="B172" s="264" t="s">
        <v>25</v>
      </c>
      <c r="C172" s="265" t="s">
        <v>2</v>
      </c>
      <c r="D172" s="265" t="s">
        <v>4</v>
      </c>
      <c r="E172" s="265" t="s">
        <v>26</v>
      </c>
      <c r="F172" s="265" t="s">
        <v>5</v>
      </c>
      <c r="G172" s="265" t="s">
        <v>6</v>
      </c>
      <c r="H172" s="265" t="s">
        <v>27</v>
      </c>
      <c r="I172" s="265" t="s">
        <v>28</v>
      </c>
      <c r="J172" s="266" t="s">
        <v>29</v>
      </c>
      <c r="K172" s="266" t="s">
        <v>30</v>
      </c>
      <c r="L172" s="265" t="s">
        <v>3</v>
      </c>
      <c r="M172" s="265" t="s">
        <v>31</v>
      </c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</row>
    <row r="173" spans="2:29" x14ac:dyDescent="0.25">
      <c r="B173" s="268" t="s">
        <v>9</v>
      </c>
      <c r="C173" s="269">
        <f>'Data Entry'!B193</f>
        <v>1891</v>
      </c>
      <c r="D173" s="269">
        <f>'Data Entry'!C193</f>
        <v>218</v>
      </c>
      <c r="E173" s="269">
        <f>'Data Entry'!D193</f>
        <v>242</v>
      </c>
      <c r="F173" s="269">
        <f>'Data Entry'!E193</f>
        <v>46</v>
      </c>
      <c r="G173" s="270">
        <f>'Data Entry'!F193</f>
        <v>70</v>
      </c>
      <c r="H173" s="271">
        <f>'Data Entry'!G193+'Data Entry'!H193+'Data Entry'!I193+'Data Entry'!J193+'Data Entry'!K193+'Data Entry'!L193</f>
        <v>990</v>
      </c>
      <c r="I173" s="271">
        <f>'Data Entry'!AH193</f>
        <v>292</v>
      </c>
      <c r="J173" s="270">
        <f>'Data Entry'!AG193</f>
        <v>439</v>
      </c>
      <c r="K173" s="270">
        <f>'Data Entry'!AF193+'Data Entry'!AE193+'Data Entry'!AD193+'Data Entry'!AC193+'Data Entry'!AB193+'Data Entry'!AA193+'Data Entry'!Z193+'Data Entry'!Y193+'Data Entry'!X193+'Data Entry'!W193+'Data Entry'!V193+'Data Entry'!U193+'Data Entry'!T193+'Data Entry'!S193+'Data Entry'!R193+'Data Entry'!Q193+'Data Entry'!P193+'Data Entry'!O193+'Data Entry'!N193+'Data Entry'!M193</f>
        <v>508</v>
      </c>
      <c r="L173" s="272">
        <f>'Data Entry'!AJ193+'Data Entry'!AI193</f>
        <v>288</v>
      </c>
      <c r="M173" s="272">
        <f>SUM(C173:L173)</f>
        <v>4984</v>
      </c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</row>
    <row r="174" spans="2:29" x14ac:dyDescent="0.25">
      <c r="B174" s="268" t="s">
        <v>10</v>
      </c>
      <c r="C174" s="274">
        <f>'Data Entry'!B198</f>
        <v>2650</v>
      </c>
      <c r="D174" s="274">
        <f>'Data Entry'!C198</f>
        <v>189</v>
      </c>
      <c r="E174" s="274">
        <f>'Data Entry'!D198</f>
        <v>276</v>
      </c>
      <c r="F174" s="274">
        <f>'Data Entry'!E198</f>
        <v>36</v>
      </c>
      <c r="G174" s="275">
        <f>'Data Entry'!F198</f>
        <v>82</v>
      </c>
      <c r="H174" s="276">
        <f>'Data Entry'!G198+'Data Entry'!H198+'Data Entry'!I198+'Data Entry'!J198+'Data Entry'!K198+'Data Entry'!L198</f>
        <v>801</v>
      </c>
      <c r="I174" s="276">
        <f>'Data Entry'!AH198</f>
        <v>324</v>
      </c>
      <c r="J174" s="275">
        <f>'Data Entry'!AG198</f>
        <v>404</v>
      </c>
      <c r="K174" s="275">
        <f>'Data Entry'!AF198+'Data Entry'!AE198+'Data Entry'!AD198+'Data Entry'!AC198+'Data Entry'!AB198+'Data Entry'!AA198+'Data Entry'!Z198+'Data Entry'!Y198+'Data Entry'!X198+'Data Entry'!W198+'Data Entry'!V198+'Data Entry'!U198+'Data Entry'!T198+'Data Entry'!S198+'Data Entry'!R198+'Data Entry'!Q198+'Data Entry'!P198+'Data Entry'!O198+'Data Entry'!N198+'Data Entry'!M198</f>
        <v>516</v>
      </c>
      <c r="L174" s="277">
        <f>'Data Entry'!AJ198+'Data Entry'!AI198</f>
        <v>271</v>
      </c>
      <c r="M174" s="277">
        <f>SUM(C174:L174)</f>
        <v>5549</v>
      </c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</row>
    <row r="175" spans="2:29" x14ac:dyDescent="0.25">
      <c r="B175" s="268" t="s">
        <v>47</v>
      </c>
      <c r="C175" s="274"/>
      <c r="D175" s="274"/>
      <c r="E175" s="274"/>
      <c r="F175" s="274"/>
      <c r="G175" s="275"/>
      <c r="H175" s="276"/>
      <c r="I175" s="276"/>
      <c r="J175" s="275"/>
      <c r="K175" s="275"/>
      <c r="L175" s="277"/>
      <c r="M175" s="277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</row>
    <row r="176" spans="2:29" x14ac:dyDescent="0.25">
      <c r="B176" s="280" t="s">
        <v>12</v>
      </c>
      <c r="C176" s="281">
        <f>SUM(C173:C175)</f>
        <v>4541</v>
      </c>
      <c r="D176" s="281">
        <f t="shared" ref="D176:L176" si="5">SUM(D173:D175)</f>
        <v>407</v>
      </c>
      <c r="E176" s="281">
        <f t="shared" si="5"/>
        <v>518</v>
      </c>
      <c r="F176" s="281">
        <f t="shared" si="5"/>
        <v>82</v>
      </c>
      <c r="G176" s="281">
        <f>SUM(G173:G175)</f>
        <v>152</v>
      </c>
      <c r="H176" s="281">
        <f t="shared" si="5"/>
        <v>1791</v>
      </c>
      <c r="I176" s="281">
        <f t="shared" si="5"/>
        <v>616</v>
      </c>
      <c r="J176" s="281">
        <f t="shared" si="5"/>
        <v>843</v>
      </c>
      <c r="K176" s="281">
        <f t="shared" si="5"/>
        <v>1024</v>
      </c>
      <c r="L176" s="281">
        <f t="shared" si="5"/>
        <v>559</v>
      </c>
      <c r="M176" s="281">
        <f>SUM(M173:M175)</f>
        <v>10533</v>
      </c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</row>
    <row r="177" spans="2:29" x14ac:dyDescent="0.25">
      <c r="B177" s="268" t="s">
        <v>48</v>
      </c>
      <c r="C177" s="274"/>
      <c r="D177" s="274"/>
      <c r="E177" s="274"/>
      <c r="F177" s="274"/>
      <c r="G177" s="275"/>
      <c r="H177" s="276"/>
      <c r="I177" s="276"/>
      <c r="J177" s="275"/>
      <c r="K177" s="275"/>
      <c r="L177" s="277"/>
      <c r="M177" s="277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</row>
    <row r="178" spans="2:29" x14ac:dyDescent="0.25">
      <c r="B178" s="268" t="s">
        <v>14</v>
      </c>
      <c r="C178" s="274"/>
      <c r="D178" s="274"/>
      <c r="E178" s="274"/>
      <c r="F178" s="274"/>
      <c r="G178" s="275"/>
      <c r="H178" s="276"/>
      <c r="I178" s="276"/>
      <c r="J178" s="275"/>
      <c r="K178" s="275"/>
      <c r="L178" s="277"/>
      <c r="M178" s="277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</row>
    <row r="179" spans="2:29" x14ac:dyDescent="0.25">
      <c r="B179" s="268" t="s">
        <v>49</v>
      </c>
      <c r="C179" s="274"/>
      <c r="D179" s="274"/>
      <c r="E179" s="274"/>
      <c r="F179" s="274"/>
      <c r="G179" s="275"/>
      <c r="H179" s="276"/>
      <c r="I179" s="276"/>
      <c r="J179" s="275"/>
      <c r="K179" s="275"/>
      <c r="L179" s="277"/>
      <c r="M179" s="277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</row>
    <row r="180" spans="2:29" x14ac:dyDescent="0.25">
      <c r="B180" s="280" t="s">
        <v>16</v>
      </c>
      <c r="C180" s="281"/>
      <c r="D180" s="281"/>
      <c r="E180" s="281"/>
      <c r="F180" s="281"/>
      <c r="G180" s="281"/>
      <c r="H180" s="281"/>
      <c r="I180" s="281"/>
      <c r="J180" s="281"/>
      <c r="K180" s="281"/>
      <c r="L180" s="281"/>
      <c r="M180" s="281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</row>
    <row r="181" spans="2:29" x14ac:dyDescent="0.25">
      <c r="B181" s="268" t="s">
        <v>50</v>
      </c>
      <c r="C181" s="274"/>
      <c r="D181" s="274"/>
      <c r="E181" s="274"/>
      <c r="F181" s="274"/>
      <c r="G181" s="275"/>
      <c r="H181" s="276"/>
      <c r="I181" s="276"/>
      <c r="J181" s="275"/>
      <c r="K181" s="275"/>
      <c r="L181" s="277"/>
      <c r="M181" s="277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</row>
    <row r="182" spans="2:29" x14ac:dyDescent="0.25">
      <c r="B182" s="268" t="s">
        <v>51</v>
      </c>
      <c r="C182" s="274"/>
      <c r="D182" s="274"/>
      <c r="E182" s="274"/>
      <c r="F182" s="274"/>
      <c r="G182" s="275"/>
      <c r="H182" s="276"/>
      <c r="I182" s="276"/>
      <c r="J182" s="275"/>
      <c r="K182" s="275"/>
      <c r="L182" s="277"/>
      <c r="M182" s="277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</row>
    <row r="183" spans="2:29" x14ac:dyDescent="0.25">
      <c r="B183" s="268" t="s">
        <v>19</v>
      </c>
      <c r="C183" s="274"/>
      <c r="D183" s="274"/>
      <c r="E183" s="274"/>
      <c r="F183" s="274"/>
      <c r="G183" s="275"/>
      <c r="H183" s="276"/>
      <c r="I183" s="276"/>
      <c r="J183" s="275"/>
      <c r="K183" s="275"/>
      <c r="L183" s="277"/>
      <c r="M183" s="277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</row>
    <row r="184" spans="2:29" x14ac:dyDescent="0.25">
      <c r="B184" s="280" t="s">
        <v>20</v>
      </c>
      <c r="C184" s="281"/>
      <c r="D184" s="281"/>
      <c r="E184" s="281"/>
      <c r="F184" s="281"/>
      <c r="G184" s="281"/>
      <c r="H184" s="281"/>
      <c r="I184" s="281"/>
      <c r="J184" s="281"/>
      <c r="K184" s="281"/>
      <c r="L184" s="281"/>
      <c r="M184" s="281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</row>
    <row r="185" spans="2:29" x14ac:dyDescent="0.25">
      <c r="B185" s="268" t="s">
        <v>21</v>
      </c>
      <c r="C185" s="274"/>
      <c r="D185" s="274"/>
      <c r="E185" s="274"/>
      <c r="F185" s="274"/>
      <c r="G185" s="275"/>
      <c r="H185" s="276"/>
      <c r="I185" s="276"/>
      <c r="J185" s="275"/>
      <c r="K185" s="275"/>
      <c r="L185" s="277"/>
      <c r="M185" s="277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</row>
    <row r="186" spans="2:29" x14ac:dyDescent="0.25">
      <c r="B186" s="268" t="s">
        <v>22</v>
      </c>
      <c r="C186" s="274"/>
      <c r="D186" s="274"/>
      <c r="E186" s="274"/>
      <c r="F186" s="274"/>
      <c r="G186" s="275"/>
      <c r="H186" s="276"/>
      <c r="I186" s="276"/>
      <c r="J186" s="275"/>
      <c r="K186" s="275"/>
      <c r="L186" s="277"/>
      <c r="M186" s="277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</row>
    <row r="187" spans="2:29" x14ac:dyDescent="0.25">
      <c r="B187" s="268" t="s">
        <v>23</v>
      </c>
      <c r="C187" s="274"/>
      <c r="D187" s="274"/>
      <c r="E187" s="274"/>
      <c r="F187" s="274"/>
      <c r="G187" s="275"/>
      <c r="H187" s="276"/>
      <c r="I187" s="276"/>
      <c r="J187" s="275"/>
      <c r="K187" s="275"/>
      <c r="L187" s="277"/>
      <c r="M187" s="277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</row>
    <row r="188" spans="2:29" x14ac:dyDescent="0.25">
      <c r="B188" s="280" t="s">
        <v>24</v>
      </c>
      <c r="C188" s="281"/>
      <c r="D188" s="281"/>
      <c r="E188" s="281"/>
      <c r="F188" s="281"/>
      <c r="G188" s="281"/>
      <c r="H188" s="281"/>
      <c r="I188" s="281"/>
      <c r="J188" s="281"/>
      <c r="K188" s="281"/>
      <c r="L188" s="281"/>
      <c r="M188" s="281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</row>
    <row r="189" spans="2:29" ht="16.5" thickBot="1" x14ac:dyDescent="0.3">
      <c r="B189" s="284" t="s">
        <v>7</v>
      </c>
      <c r="C189" s="285">
        <f>C188+C184+C180+C176</f>
        <v>4541</v>
      </c>
      <c r="D189" s="285">
        <f t="shared" ref="D189:M189" si="6">D188+D184+D180+D176</f>
        <v>407</v>
      </c>
      <c r="E189" s="285">
        <f t="shared" si="6"/>
        <v>518</v>
      </c>
      <c r="F189" s="285">
        <f t="shared" si="6"/>
        <v>82</v>
      </c>
      <c r="G189" s="285">
        <f t="shared" si="6"/>
        <v>152</v>
      </c>
      <c r="H189" s="285">
        <f t="shared" si="6"/>
        <v>1791</v>
      </c>
      <c r="I189" s="285">
        <f t="shared" si="6"/>
        <v>616</v>
      </c>
      <c r="J189" s="285">
        <f t="shared" si="6"/>
        <v>843</v>
      </c>
      <c r="K189" s="285">
        <f t="shared" si="6"/>
        <v>1024</v>
      </c>
      <c r="L189" s="285">
        <f t="shared" si="6"/>
        <v>559</v>
      </c>
      <c r="M189" s="285">
        <f t="shared" si="6"/>
        <v>10533</v>
      </c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</row>
    <row r="190" spans="2:29" x14ac:dyDescent="0.25">
      <c r="B190" s="10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25"/>
      <c r="O190" s="220"/>
      <c r="P190" s="220"/>
      <c r="Q190" s="220"/>
      <c r="R190" s="25"/>
      <c r="S190" s="25"/>
      <c r="T190" s="25"/>
      <c r="U190" s="25"/>
      <c r="V190" s="25"/>
      <c r="W190" s="25"/>
      <c r="X190" s="25"/>
      <c r="Y190" s="25"/>
      <c r="Z190" s="25"/>
      <c r="AA190" s="219"/>
      <c r="AB190" s="25"/>
    </row>
    <row r="191" spans="2:29" ht="20.25" x14ac:dyDescent="0.3">
      <c r="B191" s="287" t="s">
        <v>208</v>
      </c>
      <c r="C191" s="259"/>
      <c r="D191" s="259"/>
      <c r="E191" s="259"/>
      <c r="F191" s="259"/>
      <c r="G191" s="259"/>
      <c r="H191" s="259"/>
      <c r="I191" s="259"/>
      <c r="J191" s="259"/>
      <c r="K191" s="259"/>
      <c r="L191" s="259"/>
      <c r="M191" s="259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</row>
    <row r="192" spans="2:29" s="263" customFormat="1" ht="15" x14ac:dyDescent="0.25">
      <c r="B192" s="264" t="s">
        <v>25</v>
      </c>
      <c r="C192" s="265" t="s">
        <v>2</v>
      </c>
      <c r="D192" s="265" t="s">
        <v>4</v>
      </c>
      <c r="E192" s="265" t="s">
        <v>26</v>
      </c>
      <c r="F192" s="265" t="s">
        <v>5</v>
      </c>
      <c r="G192" s="265" t="s">
        <v>6</v>
      </c>
      <c r="H192" s="265" t="s">
        <v>27</v>
      </c>
      <c r="I192" s="265" t="s">
        <v>28</v>
      </c>
      <c r="J192" s="266" t="s">
        <v>29</v>
      </c>
      <c r="K192" s="266" t="s">
        <v>30</v>
      </c>
      <c r="L192" s="265" t="s">
        <v>3</v>
      </c>
      <c r="M192" s="265" t="s">
        <v>7</v>
      </c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</row>
    <row r="193" spans="2:29" x14ac:dyDescent="0.25">
      <c r="B193" s="268" t="s">
        <v>9</v>
      </c>
      <c r="C193" s="269">
        <f>'Data Entry'!B320</f>
        <v>1503</v>
      </c>
      <c r="D193" s="269">
        <f>'Data Entry'!C320</f>
        <v>170</v>
      </c>
      <c r="E193" s="269">
        <f>'Data Entry'!D320</f>
        <v>155</v>
      </c>
      <c r="F193" s="269">
        <f>'Data Entry'!E320</f>
        <v>29</v>
      </c>
      <c r="G193" s="270">
        <f>'Data Entry'!F320</f>
        <v>22</v>
      </c>
      <c r="H193" s="271">
        <f>'Data Entry'!G320+'Data Entry'!H320+'Data Entry'!I320+'Data Entry'!J320+'Data Entry'!K320+'Data Entry'!L320</f>
        <v>136</v>
      </c>
      <c r="I193" s="271">
        <f>'Data Entry'!AH320</f>
        <v>136</v>
      </c>
      <c r="J193" s="270">
        <f>'Data Entry'!AG320</f>
        <v>187</v>
      </c>
      <c r="K193" s="270">
        <f>'Data Entry'!AF320+'Data Entry'!AE320+'Data Entry'!AD320+'Data Entry'!AC320+'Data Entry'!AB320+'Data Entry'!AA320+'Data Entry'!Z320+'Data Entry'!Y320+'Data Entry'!X320+'Data Entry'!W320+'Data Entry'!V320+'Data Entry'!U320+'Data Entry'!T320+'Data Entry'!S320+'Data Entry'!R320+'Data Entry'!Q320+'Data Entry'!P320+'Data Entry'!O320+'Data Entry'!N320+'Data Entry'!M320</f>
        <v>327</v>
      </c>
      <c r="L193" s="272">
        <f>'Data Entry'!AJ320+'Data Entry'!AI320</f>
        <v>139</v>
      </c>
      <c r="M193" s="272">
        <f>SUM(C193:L193)</f>
        <v>2804</v>
      </c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</row>
    <row r="194" spans="2:29" x14ac:dyDescent="0.25">
      <c r="B194" s="268" t="s">
        <v>10</v>
      </c>
      <c r="C194" s="274">
        <f>'Data Entry'!B325</f>
        <v>2003</v>
      </c>
      <c r="D194" s="274">
        <f>'Data Entry'!C325</f>
        <v>114</v>
      </c>
      <c r="E194" s="274">
        <f>'Data Entry'!D325</f>
        <v>169</v>
      </c>
      <c r="F194" s="274">
        <f>'Data Entry'!E325</f>
        <v>16</v>
      </c>
      <c r="G194" s="275">
        <f>'Data Entry'!F325</f>
        <v>14</v>
      </c>
      <c r="H194" s="276">
        <f>'Data Entry'!G325+'Data Entry'!H325+'Data Entry'!I325+'Data Entry'!J325+'Data Entry'!K325+'Data Entry'!L325</f>
        <v>168</v>
      </c>
      <c r="I194" s="276">
        <f>'Data Entry'!AH325</f>
        <v>139</v>
      </c>
      <c r="J194" s="275">
        <f>'Data Entry'!AG325</f>
        <v>147</v>
      </c>
      <c r="K194" s="275">
        <f>'Data Entry'!AF325+'Data Entry'!AE325+'Data Entry'!AD325+'Data Entry'!AC325+'Data Entry'!AB325+'Data Entry'!AA325+'Data Entry'!Z325+'Data Entry'!Y325+'Data Entry'!X325+'Data Entry'!W325+'Data Entry'!V325+'Data Entry'!U325+'Data Entry'!T325+'Data Entry'!S325+'Data Entry'!R325+'Data Entry'!Q325+'Data Entry'!P325+'Data Entry'!O325+'Data Entry'!N325+'Data Entry'!M325</f>
        <v>366</v>
      </c>
      <c r="L194" s="277">
        <f>'Data Entry'!AJ325+'Data Entry'!AI325</f>
        <v>124</v>
      </c>
      <c r="M194" s="277">
        <f>SUM(C194:L194)</f>
        <v>3260</v>
      </c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</row>
    <row r="195" spans="2:29" x14ac:dyDescent="0.25">
      <c r="B195" s="268" t="s">
        <v>47</v>
      </c>
      <c r="C195" s="274"/>
      <c r="D195" s="274"/>
      <c r="E195" s="274"/>
      <c r="F195" s="274"/>
      <c r="G195" s="275"/>
      <c r="H195" s="276"/>
      <c r="I195" s="276"/>
      <c r="J195" s="275"/>
      <c r="K195" s="275"/>
      <c r="L195" s="277"/>
      <c r="M195" s="277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</row>
    <row r="196" spans="2:29" x14ac:dyDescent="0.25">
      <c r="B196" s="280" t="s">
        <v>12</v>
      </c>
      <c r="C196" s="281">
        <f>SUM(C193:C195)</f>
        <v>3506</v>
      </c>
      <c r="D196" s="281">
        <f t="shared" ref="D196:M196" si="7">SUM(D193:D195)</f>
        <v>284</v>
      </c>
      <c r="E196" s="281">
        <f t="shared" si="7"/>
        <v>324</v>
      </c>
      <c r="F196" s="281">
        <f t="shared" si="7"/>
        <v>45</v>
      </c>
      <c r="G196" s="281">
        <f t="shared" si="7"/>
        <v>36</v>
      </c>
      <c r="H196" s="281">
        <f t="shared" si="7"/>
        <v>304</v>
      </c>
      <c r="I196" s="281">
        <f t="shared" si="7"/>
        <v>275</v>
      </c>
      <c r="J196" s="281">
        <f t="shared" si="7"/>
        <v>334</v>
      </c>
      <c r="K196" s="281">
        <f t="shared" si="7"/>
        <v>693</v>
      </c>
      <c r="L196" s="281">
        <f t="shared" si="7"/>
        <v>263</v>
      </c>
      <c r="M196" s="281">
        <f t="shared" si="7"/>
        <v>6064</v>
      </c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</row>
    <row r="197" spans="2:29" x14ac:dyDescent="0.25">
      <c r="B197" s="268" t="s">
        <v>48</v>
      </c>
      <c r="C197" s="274"/>
      <c r="D197" s="274"/>
      <c r="E197" s="274"/>
      <c r="F197" s="274"/>
      <c r="G197" s="275"/>
      <c r="H197" s="276"/>
      <c r="I197" s="276"/>
      <c r="J197" s="275"/>
      <c r="K197" s="275"/>
      <c r="L197" s="277"/>
      <c r="M197" s="277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</row>
    <row r="198" spans="2:29" x14ac:dyDescent="0.25">
      <c r="B198" s="268" t="s">
        <v>14</v>
      </c>
      <c r="C198" s="274"/>
      <c r="D198" s="274"/>
      <c r="E198" s="274"/>
      <c r="F198" s="274"/>
      <c r="G198" s="275"/>
      <c r="H198" s="276"/>
      <c r="I198" s="276"/>
      <c r="J198" s="275"/>
      <c r="K198" s="275"/>
      <c r="L198" s="277"/>
      <c r="M198" s="277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</row>
    <row r="199" spans="2:29" x14ac:dyDescent="0.25">
      <c r="B199" s="268" t="s">
        <v>49</v>
      </c>
      <c r="C199" s="274"/>
      <c r="D199" s="274"/>
      <c r="E199" s="274"/>
      <c r="F199" s="274"/>
      <c r="G199" s="275"/>
      <c r="H199" s="276"/>
      <c r="I199" s="276"/>
      <c r="J199" s="275"/>
      <c r="K199" s="275"/>
      <c r="L199" s="277"/>
      <c r="M199" s="277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</row>
    <row r="200" spans="2:29" x14ac:dyDescent="0.25">
      <c r="B200" s="280" t="s">
        <v>16</v>
      </c>
      <c r="C200" s="281"/>
      <c r="D200" s="281"/>
      <c r="E200" s="281"/>
      <c r="F200" s="281"/>
      <c r="G200" s="281"/>
      <c r="H200" s="281"/>
      <c r="I200" s="281"/>
      <c r="J200" s="281"/>
      <c r="K200" s="281"/>
      <c r="L200" s="281"/>
      <c r="M200" s="281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</row>
    <row r="201" spans="2:29" x14ac:dyDescent="0.25">
      <c r="B201" s="268" t="s">
        <v>50</v>
      </c>
      <c r="C201" s="274"/>
      <c r="D201" s="274"/>
      <c r="E201" s="274"/>
      <c r="F201" s="274"/>
      <c r="G201" s="275"/>
      <c r="H201" s="276"/>
      <c r="I201" s="276"/>
      <c r="J201" s="275"/>
      <c r="K201" s="275"/>
      <c r="L201" s="277"/>
      <c r="M201" s="277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</row>
    <row r="202" spans="2:29" x14ac:dyDescent="0.25">
      <c r="B202" s="268" t="s">
        <v>51</v>
      </c>
      <c r="C202" s="274"/>
      <c r="D202" s="274"/>
      <c r="E202" s="274"/>
      <c r="F202" s="274"/>
      <c r="G202" s="275"/>
      <c r="H202" s="276"/>
      <c r="I202" s="276"/>
      <c r="J202" s="275"/>
      <c r="K202" s="275"/>
      <c r="L202" s="277"/>
      <c r="M202" s="277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</row>
    <row r="203" spans="2:29" x14ac:dyDescent="0.25">
      <c r="B203" s="268" t="s">
        <v>19</v>
      </c>
      <c r="C203" s="274"/>
      <c r="D203" s="274"/>
      <c r="E203" s="274"/>
      <c r="F203" s="274"/>
      <c r="G203" s="275"/>
      <c r="H203" s="276"/>
      <c r="I203" s="276"/>
      <c r="J203" s="275"/>
      <c r="K203" s="275"/>
      <c r="L203" s="277"/>
      <c r="M203" s="277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</row>
    <row r="204" spans="2:29" x14ac:dyDescent="0.25">
      <c r="B204" s="280" t="s">
        <v>20</v>
      </c>
      <c r="C204" s="281"/>
      <c r="D204" s="281"/>
      <c r="E204" s="281"/>
      <c r="F204" s="281"/>
      <c r="G204" s="281"/>
      <c r="H204" s="281"/>
      <c r="I204" s="281"/>
      <c r="J204" s="281"/>
      <c r="K204" s="281"/>
      <c r="L204" s="281"/>
      <c r="M204" s="281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</row>
    <row r="205" spans="2:29" x14ac:dyDescent="0.25">
      <c r="B205" s="268" t="s">
        <v>21</v>
      </c>
      <c r="C205" s="274"/>
      <c r="D205" s="274"/>
      <c r="E205" s="274"/>
      <c r="F205" s="274"/>
      <c r="G205" s="275"/>
      <c r="H205" s="276"/>
      <c r="I205" s="276"/>
      <c r="J205" s="275"/>
      <c r="K205" s="275"/>
      <c r="L205" s="277"/>
      <c r="M205" s="277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</row>
    <row r="206" spans="2:29" x14ac:dyDescent="0.25">
      <c r="B206" s="268" t="s">
        <v>22</v>
      </c>
      <c r="C206" s="274"/>
      <c r="D206" s="274"/>
      <c r="E206" s="274"/>
      <c r="F206" s="274"/>
      <c r="G206" s="275"/>
      <c r="H206" s="276"/>
      <c r="I206" s="276"/>
      <c r="J206" s="275"/>
      <c r="K206" s="275"/>
      <c r="L206" s="277"/>
      <c r="M206" s="277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</row>
    <row r="207" spans="2:29" x14ac:dyDescent="0.25">
      <c r="B207" s="268" t="s">
        <v>23</v>
      </c>
      <c r="C207" s="274"/>
      <c r="D207" s="274"/>
      <c r="E207" s="274"/>
      <c r="F207" s="274"/>
      <c r="G207" s="275"/>
      <c r="H207" s="276"/>
      <c r="I207" s="276"/>
      <c r="J207" s="275"/>
      <c r="K207" s="275"/>
      <c r="L207" s="277"/>
      <c r="M207" s="277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</row>
    <row r="208" spans="2:29" x14ac:dyDescent="0.25">
      <c r="B208" s="280" t="s">
        <v>24</v>
      </c>
      <c r="C208" s="281"/>
      <c r="D208" s="281"/>
      <c r="E208" s="281"/>
      <c r="F208" s="281"/>
      <c r="G208" s="281"/>
      <c r="H208" s="281"/>
      <c r="I208" s="281"/>
      <c r="J208" s="281"/>
      <c r="K208" s="281"/>
      <c r="L208" s="281"/>
      <c r="M208" s="281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</row>
    <row r="209" spans="2:29" ht="16.5" thickBot="1" x14ac:dyDescent="0.3">
      <c r="B209" s="284" t="s">
        <v>7</v>
      </c>
      <c r="C209" s="285">
        <f>C208+C204+C200+C196</f>
        <v>3506</v>
      </c>
      <c r="D209" s="285">
        <f t="shared" ref="D209:M209" si="8">D208+D204+D200+D196</f>
        <v>284</v>
      </c>
      <c r="E209" s="285">
        <f t="shared" si="8"/>
        <v>324</v>
      </c>
      <c r="F209" s="285">
        <f t="shared" si="8"/>
        <v>45</v>
      </c>
      <c r="G209" s="285">
        <f t="shared" si="8"/>
        <v>36</v>
      </c>
      <c r="H209" s="285">
        <f t="shared" si="8"/>
        <v>304</v>
      </c>
      <c r="I209" s="285">
        <f t="shared" si="8"/>
        <v>275</v>
      </c>
      <c r="J209" s="285">
        <f t="shared" si="8"/>
        <v>334</v>
      </c>
      <c r="K209" s="285">
        <f t="shared" si="8"/>
        <v>693</v>
      </c>
      <c r="L209" s="285">
        <f t="shared" si="8"/>
        <v>263</v>
      </c>
      <c r="M209" s="285">
        <f t="shared" si="8"/>
        <v>6064</v>
      </c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</row>
    <row r="210" spans="2:29" x14ac:dyDescent="0.25"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25"/>
      <c r="O210" s="220"/>
      <c r="P210" s="220"/>
      <c r="Q210" s="220"/>
      <c r="R210" s="25"/>
      <c r="S210" s="25"/>
      <c r="T210" s="25"/>
      <c r="U210" s="25"/>
      <c r="V210" s="25"/>
      <c r="W210" s="25"/>
      <c r="X210" s="25"/>
      <c r="Y210" s="25"/>
      <c r="Z210" s="25"/>
      <c r="AA210" s="219"/>
      <c r="AB210" s="25"/>
    </row>
    <row r="211" spans="2:29" ht="20.25" x14ac:dyDescent="0.3">
      <c r="B211" s="287" t="s">
        <v>209</v>
      </c>
      <c r="C211" s="259"/>
      <c r="D211" s="259"/>
      <c r="E211" s="259"/>
      <c r="F211" s="259"/>
      <c r="G211" s="259"/>
      <c r="H211" s="259"/>
      <c r="I211" s="259"/>
      <c r="J211" s="259"/>
      <c r="K211" s="259"/>
      <c r="L211" s="259"/>
      <c r="M211" s="259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</row>
    <row r="212" spans="2:29" s="263" customFormat="1" ht="15" x14ac:dyDescent="0.25">
      <c r="B212" s="264" t="s">
        <v>25</v>
      </c>
      <c r="C212" s="265" t="s">
        <v>2</v>
      </c>
      <c r="D212" s="265" t="s">
        <v>4</v>
      </c>
      <c r="E212" s="265" t="s">
        <v>26</v>
      </c>
      <c r="F212" s="265" t="s">
        <v>5</v>
      </c>
      <c r="G212" s="265" t="s">
        <v>6</v>
      </c>
      <c r="H212" s="265" t="s">
        <v>27</v>
      </c>
      <c r="I212" s="265" t="s">
        <v>28</v>
      </c>
      <c r="J212" s="266" t="s">
        <v>29</v>
      </c>
      <c r="K212" s="266" t="s">
        <v>30</v>
      </c>
      <c r="L212" s="265" t="s">
        <v>3</v>
      </c>
      <c r="M212" s="265" t="s">
        <v>31</v>
      </c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</row>
    <row r="213" spans="2:29" x14ac:dyDescent="0.25">
      <c r="B213" s="268" t="s">
        <v>9</v>
      </c>
      <c r="C213" s="269">
        <f t="shared" ref="C213:M213" si="9">C173-C193</f>
        <v>388</v>
      </c>
      <c r="D213" s="269">
        <f t="shared" si="9"/>
        <v>48</v>
      </c>
      <c r="E213" s="269">
        <f t="shared" si="9"/>
        <v>87</v>
      </c>
      <c r="F213" s="269">
        <f t="shared" si="9"/>
        <v>17</v>
      </c>
      <c r="G213" s="270">
        <f t="shared" si="9"/>
        <v>48</v>
      </c>
      <c r="H213" s="271">
        <f t="shared" si="9"/>
        <v>854</v>
      </c>
      <c r="I213" s="271">
        <f t="shared" si="9"/>
        <v>156</v>
      </c>
      <c r="J213" s="270">
        <f t="shared" si="9"/>
        <v>252</v>
      </c>
      <c r="K213" s="270">
        <f t="shared" si="9"/>
        <v>181</v>
      </c>
      <c r="L213" s="272">
        <f t="shared" si="9"/>
        <v>149</v>
      </c>
      <c r="M213" s="272">
        <f t="shared" si="9"/>
        <v>2180</v>
      </c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</row>
    <row r="214" spans="2:29" x14ac:dyDescent="0.25">
      <c r="B214" s="268" t="s">
        <v>10</v>
      </c>
      <c r="C214" s="274">
        <f t="shared" ref="C214:M214" si="10">C174-C194</f>
        <v>647</v>
      </c>
      <c r="D214" s="274">
        <f t="shared" si="10"/>
        <v>75</v>
      </c>
      <c r="E214" s="274">
        <f t="shared" si="10"/>
        <v>107</v>
      </c>
      <c r="F214" s="274">
        <f t="shared" si="10"/>
        <v>20</v>
      </c>
      <c r="G214" s="275">
        <f t="shared" si="10"/>
        <v>68</v>
      </c>
      <c r="H214" s="276">
        <f t="shared" si="10"/>
        <v>633</v>
      </c>
      <c r="I214" s="276">
        <f t="shared" si="10"/>
        <v>185</v>
      </c>
      <c r="J214" s="275">
        <f t="shared" si="10"/>
        <v>257</v>
      </c>
      <c r="K214" s="275">
        <f t="shared" si="10"/>
        <v>150</v>
      </c>
      <c r="L214" s="277">
        <f t="shared" si="10"/>
        <v>147</v>
      </c>
      <c r="M214" s="277">
        <f t="shared" si="10"/>
        <v>2289</v>
      </c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</row>
    <row r="215" spans="2:29" x14ac:dyDescent="0.25">
      <c r="B215" s="268" t="s">
        <v>47</v>
      </c>
      <c r="C215" s="274"/>
      <c r="D215" s="274"/>
      <c r="E215" s="274"/>
      <c r="F215" s="274"/>
      <c r="G215" s="275"/>
      <c r="H215" s="276"/>
      <c r="I215" s="276"/>
      <c r="J215" s="275"/>
      <c r="K215" s="275"/>
      <c r="L215" s="277"/>
      <c r="M215" s="277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</row>
    <row r="216" spans="2:29" x14ac:dyDescent="0.25">
      <c r="B216" s="280" t="s">
        <v>12</v>
      </c>
      <c r="C216" s="281">
        <f>SUM(C213:C215)</f>
        <v>1035</v>
      </c>
      <c r="D216" s="281">
        <f t="shared" ref="D216:M216" si="11">SUM(D213:D215)</f>
        <v>123</v>
      </c>
      <c r="E216" s="281">
        <f t="shared" si="11"/>
        <v>194</v>
      </c>
      <c r="F216" s="281">
        <f t="shared" si="11"/>
        <v>37</v>
      </c>
      <c r="G216" s="281">
        <f t="shared" si="11"/>
        <v>116</v>
      </c>
      <c r="H216" s="281">
        <f t="shared" si="11"/>
        <v>1487</v>
      </c>
      <c r="I216" s="281">
        <f t="shared" si="11"/>
        <v>341</v>
      </c>
      <c r="J216" s="281">
        <f t="shared" si="11"/>
        <v>509</v>
      </c>
      <c r="K216" s="281">
        <f t="shared" si="11"/>
        <v>331</v>
      </c>
      <c r="L216" s="281">
        <f t="shared" si="11"/>
        <v>296</v>
      </c>
      <c r="M216" s="281">
        <f t="shared" si="11"/>
        <v>4469</v>
      </c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</row>
    <row r="217" spans="2:29" x14ac:dyDescent="0.25">
      <c r="B217" s="268" t="s">
        <v>48</v>
      </c>
      <c r="C217" s="274"/>
      <c r="D217" s="274"/>
      <c r="E217" s="274"/>
      <c r="F217" s="274"/>
      <c r="G217" s="275"/>
      <c r="H217" s="276"/>
      <c r="I217" s="276"/>
      <c r="J217" s="275"/>
      <c r="K217" s="275"/>
      <c r="L217" s="277"/>
      <c r="M217" s="277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</row>
    <row r="218" spans="2:29" x14ac:dyDescent="0.25">
      <c r="B218" s="268" t="s">
        <v>14</v>
      </c>
      <c r="C218" s="274"/>
      <c r="D218" s="274"/>
      <c r="E218" s="274"/>
      <c r="F218" s="274"/>
      <c r="G218" s="275"/>
      <c r="H218" s="276"/>
      <c r="I218" s="276"/>
      <c r="J218" s="275"/>
      <c r="K218" s="275"/>
      <c r="L218" s="277"/>
      <c r="M218" s="277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</row>
    <row r="219" spans="2:29" x14ac:dyDescent="0.25">
      <c r="B219" s="268" t="s">
        <v>49</v>
      </c>
      <c r="C219" s="274"/>
      <c r="D219" s="274"/>
      <c r="E219" s="274"/>
      <c r="F219" s="274"/>
      <c r="G219" s="275"/>
      <c r="H219" s="276"/>
      <c r="I219" s="276"/>
      <c r="J219" s="275"/>
      <c r="K219" s="275"/>
      <c r="L219" s="277"/>
      <c r="M219" s="277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</row>
    <row r="220" spans="2:29" x14ac:dyDescent="0.25">
      <c r="B220" s="280" t="s">
        <v>16</v>
      </c>
      <c r="C220" s="281"/>
      <c r="D220" s="281"/>
      <c r="E220" s="281"/>
      <c r="F220" s="281"/>
      <c r="G220" s="281"/>
      <c r="H220" s="281"/>
      <c r="I220" s="281"/>
      <c r="J220" s="281"/>
      <c r="K220" s="281"/>
      <c r="L220" s="281"/>
      <c r="M220" s="281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</row>
    <row r="221" spans="2:29" x14ac:dyDescent="0.25">
      <c r="B221" s="268" t="s">
        <v>50</v>
      </c>
      <c r="C221" s="274"/>
      <c r="D221" s="274"/>
      <c r="E221" s="274"/>
      <c r="F221" s="274"/>
      <c r="G221" s="275"/>
      <c r="H221" s="276"/>
      <c r="I221" s="276"/>
      <c r="J221" s="275"/>
      <c r="K221" s="275"/>
      <c r="L221" s="277"/>
      <c r="M221" s="277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</row>
    <row r="222" spans="2:29" x14ac:dyDescent="0.25">
      <c r="B222" s="268" t="s">
        <v>51</v>
      </c>
      <c r="C222" s="274"/>
      <c r="D222" s="274"/>
      <c r="E222" s="274"/>
      <c r="F222" s="274"/>
      <c r="G222" s="275"/>
      <c r="H222" s="276"/>
      <c r="I222" s="276"/>
      <c r="J222" s="275"/>
      <c r="K222" s="275"/>
      <c r="L222" s="277"/>
      <c r="M222" s="277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</row>
    <row r="223" spans="2:29" x14ac:dyDescent="0.25">
      <c r="B223" s="268" t="s">
        <v>19</v>
      </c>
      <c r="C223" s="274"/>
      <c r="D223" s="274"/>
      <c r="E223" s="274"/>
      <c r="F223" s="274"/>
      <c r="G223" s="275"/>
      <c r="H223" s="276"/>
      <c r="I223" s="276"/>
      <c r="J223" s="275"/>
      <c r="K223" s="275"/>
      <c r="L223" s="277"/>
      <c r="M223" s="277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</row>
    <row r="224" spans="2:29" x14ac:dyDescent="0.25">
      <c r="B224" s="280" t="s">
        <v>20</v>
      </c>
      <c r="C224" s="281"/>
      <c r="D224" s="281"/>
      <c r="E224" s="281"/>
      <c r="F224" s="281"/>
      <c r="G224" s="281"/>
      <c r="H224" s="281"/>
      <c r="I224" s="281"/>
      <c r="J224" s="281"/>
      <c r="K224" s="281"/>
      <c r="L224" s="281"/>
      <c r="M224" s="281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</row>
    <row r="225" spans="2:29" x14ac:dyDescent="0.25">
      <c r="B225" s="268" t="s">
        <v>21</v>
      </c>
      <c r="C225" s="274"/>
      <c r="D225" s="274"/>
      <c r="E225" s="274"/>
      <c r="F225" s="274"/>
      <c r="G225" s="275"/>
      <c r="H225" s="276"/>
      <c r="I225" s="276"/>
      <c r="J225" s="275"/>
      <c r="K225" s="275"/>
      <c r="L225" s="277"/>
      <c r="M225" s="277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</row>
    <row r="226" spans="2:29" x14ac:dyDescent="0.25">
      <c r="B226" s="268" t="s">
        <v>22</v>
      </c>
      <c r="C226" s="274"/>
      <c r="D226" s="274"/>
      <c r="E226" s="274"/>
      <c r="F226" s="274"/>
      <c r="G226" s="275"/>
      <c r="H226" s="276"/>
      <c r="I226" s="276"/>
      <c r="J226" s="275"/>
      <c r="K226" s="275"/>
      <c r="L226" s="277"/>
      <c r="M226" s="277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</row>
    <row r="227" spans="2:29" x14ac:dyDescent="0.25">
      <c r="B227" s="268" t="s">
        <v>23</v>
      </c>
      <c r="C227" s="274"/>
      <c r="D227" s="274"/>
      <c r="E227" s="274"/>
      <c r="F227" s="274"/>
      <c r="G227" s="275"/>
      <c r="H227" s="276"/>
      <c r="I227" s="276"/>
      <c r="J227" s="275"/>
      <c r="K227" s="275"/>
      <c r="L227" s="277"/>
      <c r="M227" s="277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</row>
    <row r="228" spans="2:29" x14ac:dyDescent="0.25">
      <c r="B228" s="280" t="s">
        <v>24</v>
      </c>
      <c r="C228" s="281"/>
      <c r="D228" s="281"/>
      <c r="E228" s="281"/>
      <c r="F228" s="281"/>
      <c r="G228" s="281"/>
      <c r="H228" s="281"/>
      <c r="I228" s="281"/>
      <c r="J228" s="281"/>
      <c r="K228" s="281"/>
      <c r="L228" s="281"/>
      <c r="M228" s="281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</row>
    <row r="229" spans="2:29" ht="16.5" thickBot="1" x14ac:dyDescent="0.3">
      <c r="B229" s="284" t="s">
        <v>7</v>
      </c>
      <c r="C229" s="285">
        <f>C228+C224+C220+C216</f>
        <v>1035</v>
      </c>
      <c r="D229" s="285">
        <f t="shared" ref="D229:M229" si="12">D228+D224+D220+D216</f>
        <v>123</v>
      </c>
      <c r="E229" s="285">
        <f t="shared" si="12"/>
        <v>194</v>
      </c>
      <c r="F229" s="285">
        <f t="shared" si="12"/>
        <v>37</v>
      </c>
      <c r="G229" s="285">
        <f t="shared" si="12"/>
        <v>116</v>
      </c>
      <c r="H229" s="285">
        <f t="shared" si="12"/>
        <v>1487</v>
      </c>
      <c r="I229" s="285">
        <f t="shared" si="12"/>
        <v>341</v>
      </c>
      <c r="J229" s="285">
        <f t="shared" si="12"/>
        <v>509</v>
      </c>
      <c r="K229" s="285">
        <f t="shared" si="12"/>
        <v>331</v>
      </c>
      <c r="L229" s="285">
        <f t="shared" si="12"/>
        <v>296</v>
      </c>
      <c r="M229" s="285">
        <f t="shared" si="12"/>
        <v>4469</v>
      </c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</row>
    <row r="230" spans="2:29" x14ac:dyDescent="0.25"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19"/>
      <c r="AB230" s="25"/>
    </row>
    <row r="231" spans="2:29" ht="20.25" x14ac:dyDescent="0.3">
      <c r="B231" s="287" t="s">
        <v>210</v>
      </c>
      <c r="C231" s="259"/>
      <c r="D231" s="259"/>
      <c r="E231" s="259"/>
      <c r="F231" s="259"/>
      <c r="G231" s="259"/>
      <c r="H231" s="259"/>
      <c r="I231" s="259"/>
      <c r="J231" s="259"/>
      <c r="K231" s="259"/>
      <c r="L231" s="259"/>
      <c r="M231" s="259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</row>
    <row r="232" spans="2:29" s="263" customFormat="1" ht="15" x14ac:dyDescent="0.25">
      <c r="B232" s="264" t="s">
        <v>25</v>
      </c>
      <c r="C232" s="265" t="s">
        <v>2</v>
      </c>
      <c r="D232" s="265" t="s">
        <v>4</v>
      </c>
      <c r="E232" s="265" t="s">
        <v>26</v>
      </c>
      <c r="F232" s="265" t="s">
        <v>5</v>
      </c>
      <c r="G232" s="265" t="s">
        <v>6</v>
      </c>
      <c r="H232" s="265" t="s">
        <v>27</v>
      </c>
      <c r="I232" s="265" t="s">
        <v>28</v>
      </c>
      <c r="J232" s="266" t="s">
        <v>29</v>
      </c>
      <c r="K232" s="266" t="s">
        <v>30</v>
      </c>
      <c r="L232" s="265" t="s">
        <v>3</v>
      </c>
      <c r="M232" s="265" t="s">
        <v>31</v>
      </c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</row>
    <row r="233" spans="2:29" x14ac:dyDescent="0.25">
      <c r="B233" s="268" t="s">
        <v>9</v>
      </c>
      <c r="C233" s="288">
        <f t="shared" ref="C233:M233" si="13">(C173-C113)/C113</f>
        <v>-0.79872272485364559</v>
      </c>
      <c r="D233" s="288">
        <f t="shared" si="13"/>
        <v>-0.85760940561724364</v>
      </c>
      <c r="E233" s="288">
        <f t="shared" si="13"/>
        <v>-0.55268022181146026</v>
      </c>
      <c r="F233" s="288">
        <f t="shared" si="13"/>
        <v>-0.93225331369661268</v>
      </c>
      <c r="G233" s="288">
        <f t="shared" si="13"/>
        <v>-0.72972972972972971</v>
      </c>
      <c r="H233" s="288">
        <f t="shared" si="13"/>
        <v>-0.60224989955805541</v>
      </c>
      <c r="I233" s="288">
        <f t="shared" si="13"/>
        <v>-0.60699865410497977</v>
      </c>
      <c r="J233" s="288">
        <f t="shared" si="13"/>
        <v>-0.31513260530421217</v>
      </c>
      <c r="K233" s="288">
        <f t="shared" si="13"/>
        <v>-0.30315500685871055</v>
      </c>
      <c r="L233" s="288">
        <f t="shared" si="13"/>
        <v>-0.73983739837398377</v>
      </c>
      <c r="M233" s="288">
        <f t="shared" si="13"/>
        <v>-0.72485370431710283</v>
      </c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</row>
    <row r="234" spans="2:29" x14ac:dyDescent="0.25">
      <c r="B234" s="268" t="s">
        <v>10</v>
      </c>
      <c r="C234" s="289">
        <f t="shared" ref="C234:M234" si="14">(C174-C114)/C114</f>
        <v>-0.74745068140665205</v>
      </c>
      <c r="D234" s="289">
        <f t="shared" si="14"/>
        <v>-0.85810810810810811</v>
      </c>
      <c r="E234" s="289">
        <f t="shared" si="14"/>
        <v>-0.56942277691107646</v>
      </c>
      <c r="F234" s="289">
        <f t="shared" si="14"/>
        <v>-0.87323943661971826</v>
      </c>
      <c r="G234" s="289">
        <f t="shared" si="14"/>
        <v>-0.51764705882352946</v>
      </c>
      <c r="H234" s="289">
        <f t="shared" si="14"/>
        <v>-0.6545924967658473</v>
      </c>
      <c r="I234" s="289">
        <f t="shared" si="14"/>
        <v>-0.55310344827586211</v>
      </c>
      <c r="J234" s="289">
        <f t="shared" si="14"/>
        <v>-0.27857142857142858</v>
      </c>
      <c r="K234" s="289">
        <f t="shared" si="14"/>
        <v>-0.1744</v>
      </c>
      <c r="L234" s="289">
        <f t="shared" si="14"/>
        <v>-0.71503680336487907</v>
      </c>
      <c r="M234" s="289">
        <f t="shared" si="14"/>
        <v>-0.69342541436464089</v>
      </c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</row>
    <row r="235" spans="2:29" x14ac:dyDescent="0.25">
      <c r="B235" s="268" t="s">
        <v>47</v>
      </c>
      <c r="C235" s="289"/>
      <c r="D235" s="289"/>
      <c r="E235" s="289"/>
      <c r="F235" s="289"/>
      <c r="G235" s="289"/>
      <c r="H235" s="289"/>
      <c r="I235" s="289"/>
      <c r="J235" s="289"/>
      <c r="K235" s="289"/>
      <c r="L235" s="289"/>
      <c r="M235" s="289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</row>
    <row r="236" spans="2:29" x14ac:dyDescent="0.25">
      <c r="B236" s="280" t="s">
        <v>12</v>
      </c>
      <c r="C236" s="282"/>
      <c r="D236" s="282"/>
      <c r="E236" s="282"/>
      <c r="F236" s="282"/>
      <c r="G236" s="282"/>
      <c r="H236" s="282"/>
      <c r="I236" s="282"/>
      <c r="J236" s="282"/>
      <c r="K236" s="282"/>
      <c r="L236" s="282"/>
      <c r="M236" s="282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</row>
    <row r="237" spans="2:29" x14ac:dyDescent="0.25">
      <c r="B237" s="268" t="s">
        <v>48</v>
      </c>
      <c r="C237" s="289"/>
      <c r="D237" s="289"/>
      <c r="E237" s="289"/>
      <c r="F237" s="289"/>
      <c r="G237" s="289"/>
      <c r="H237" s="289"/>
      <c r="I237" s="289"/>
      <c r="J237" s="289"/>
      <c r="K237" s="289"/>
      <c r="L237" s="289"/>
      <c r="M237" s="289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</row>
    <row r="238" spans="2:29" x14ac:dyDescent="0.25">
      <c r="B238" s="268" t="s">
        <v>14</v>
      </c>
      <c r="C238" s="289"/>
      <c r="D238" s="289"/>
      <c r="E238" s="289"/>
      <c r="F238" s="289"/>
      <c r="G238" s="289"/>
      <c r="H238" s="289"/>
      <c r="I238" s="289"/>
      <c r="J238" s="289"/>
      <c r="K238" s="289"/>
      <c r="L238" s="289"/>
      <c r="M238" s="289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</row>
    <row r="239" spans="2:29" x14ac:dyDescent="0.25">
      <c r="B239" s="268" t="s">
        <v>49</v>
      </c>
      <c r="C239" s="289"/>
      <c r="D239" s="289"/>
      <c r="E239" s="289"/>
      <c r="F239" s="289"/>
      <c r="G239" s="289"/>
      <c r="H239" s="289"/>
      <c r="I239" s="289"/>
      <c r="J239" s="289"/>
      <c r="K239" s="289"/>
      <c r="L239" s="289"/>
      <c r="M239" s="289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</row>
    <row r="240" spans="2:29" x14ac:dyDescent="0.25">
      <c r="B240" s="280" t="s">
        <v>16</v>
      </c>
      <c r="C240" s="282"/>
      <c r="D240" s="282"/>
      <c r="E240" s="282"/>
      <c r="F240" s="282"/>
      <c r="G240" s="282"/>
      <c r="H240" s="282"/>
      <c r="I240" s="282"/>
      <c r="J240" s="282"/>
      <c r="K240" s="282"/>
      <c r="L240" s="282"/>
      <c r="M240" s="282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</row>
    <row r="241" spans="2:29" x14ac:dyDescent="0.25">
      <c r="B241" s="268" t="s">
        <v>50</v>
      </c>
      <c r="C241" s="289"/>
      <c r="D241" s="289"/>
      <c r="E241" s="289"/>
      <c r="F241" s="289"/>
      <c r="G241" s="289"/>
      <c r="H241" s="289"/>
      <c r="I241" s="289"/>
      <c r="J241" s="289"/>
      <c r="K241" s="289"/>
      <c r="L241" s="289"/>
      <c r="M241" s="289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</row>
    <row r="242" spans="2:29" x14ac:dyDescent="0.25">
      <c r="B242" s="268" t="s">
        <v>51</v>
      </c>
      <c r="C242" s="289"/>
      <c r="D242" s="289"/>
      <c r="E242" s="289"/>
      <c r="F242" s="289"/>
      <c r="G242" s="289"/>
      <c r="H242" s="289"/>
      <c r="I242" s="289"/>
      <c r="J242" s="289"/>
      <c r="K242" s="289"/>
      <c r="L242" s="289"/>
      <c r="M242" s="289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</row>
    <row r="243" spans="2:29" x14ac:dyDescent="0.25">
      <c r="B243" s="268" t="s">
        <v>19</v>
      </c>
      <c r="C243" s="289"/>
      <c r="D243" s="289"/>
      <c r="E243" s="289"/>
      <c r="F243" s="289"/>
      <c r="G243" s="289"/>
      <c r="H243" s="289"/>
      <c r="I243" s="289"/>
      <c r="J243" s="289"/>
      <c r="K243" s="289"/>
      <c r="L243" s="289"/>
      <c r="M243" s="289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</row>
    <row r="244" spans="2:29" x14ac:dyDescent="0.25">
      <c r="B244" s="280" t="s">
        <v>20</v>
      </c>
      <c r="C244" s="282"/>
      <c r="D244" s="282"/>
      <c r="E244" s="282"/>
      <c r="F244" s="282"/>
      <c r="G244" s="282"/>
      <c r="H244" s="282"/>
      <c r="I244" s="282"/>
      <c r="J244" s="282"/>
      <c r="K244" s="282"/>
      <c r="L244" s="282"/>
      <c r="M244" s="282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</row>
    <row r="245" spans="2:29" x14ac:dyDescent="0.25">
      <c r="B245" s="268" t="s">
        <v>21</v>
      </c>
      <c r="C245" s="289"/>
      <c r="D245" s="289"/>
      <c r="E245" s="289"/>
      <c r="F245" s="289"/>
      <c r="G245" s="289"/>
      <c r="H245" s="289"/>
      <c r="I245" s="289"/>
      <c r="J245" s="289"/>
      <c r="K245" s="289"/>
      <c r="L245" s="289"/>
      <c r="M245" s="289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</row>
    <row r="246" spans="2:29" x14ac:dyDescent="0.25">
      <c r="B246" s="268" t="s">
        <v>22</v>
      </c>
      <c r="C246" s="289"/>
      <c r="D246" s="289"/>
      <c r="E246" s="289"/>
      <c r="F246" s="289"/>
      <c r="G246" s="289"/>
      <c r="H246" s="289"/>
      <c r="I246" s="289"/>
      <c r="J246" s="289"/>
      <c r="K246" s="289"/>
      <c r="L246" s="289"/>
      <c r="M246" s="289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</row>
    <row r="247" spans="2:29" x14ac:dyDescent="0.25">
      <c r="B247" s="268" t="s">
        <v>23</v>
      </c>
      <c r="C247" s="289"/>
      <c r="D247" s="289"/>
      <c r="E247" s="289"/>
      <c r="F247" s="289"/>
      <c r="G247" s="289"/>
      <c r="H247" s="289"/>
      <c r="I247" s="289"/>
      <c r="J247" s="289"/>
      <c r="K247" s="289"/>
      <c r="L247" s="289"/>
      <c r="M247" s="289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</row>
    <row r="248" spans="2:29" x14ac:dyDescent="0.25">
      <c r="B248" s="280" t="s">
        <v>24</v>
      </c>
      <c r="C248" s="282"/>
      <c r="D248" s="282"/>
      <c r="E248" s="282"/>
      <c r="F248" s="282"/>
      <c r="G248" s="282"/>
      <c r="H248" s="282"/>
      <c r="I248" s="282"/>
      <c r="J248" s="282"/>
      <c r="K248" s="282"/>
      <c r="L248" s="282"/>
      <c r="M248" s="282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</row>
    <row r="249" spans="2:29" ht="16.5" thickBot="1" x14ac:dyDescent="0.3">
      <c r="B249" s="284" t="s">
        <v>7</v>
      </c>
      <c r="C249" s="324"/>
      <c r="D249" s="324"/>
      <c r="E249" s="324"/>
      <c r="F249" s="324"/>
      <c r="G249" s="324"/>
      <c r="H249" s="324"/>
      <c r="I249" s="324"/>
      <c r="J249" s="324"/>
      <c r="K249" s="324"/>
      <c r="L249" s="324"/>
      <c r="M249" s="324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</row>
    <row r="250" spans="2:29" x14ac:dyDescent="0.25">
      <c r="B250" s="10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19"/>
      <c r="AB250" s="25"/>
    </row>
    <row r="251" spans="2:29" ht="20.25" x14ac:dyDescent="0.3">
      <c r="B251" s="287" t="s">
        <v>211</v>
      </c>
      <c r="C251" s="259"/>
      <c r="D251" s="259"/>
      <c r="E251" s="259"/>
      <c r="F251" s="259"/>
      <c r="G251" s="259"/>
      <c r="H251" s="259"/>
      <c r="I251" s="259"/>
      <c r="J251" s="259"/>
      <c r="K251" s="259"/>
      <c r="L251" s="259"/>
      <c r="M251" s="259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</row>
    <row r="252" spans="2:29" s="263" customFormat="1" ht="15" x14ac:dyDescent="0.25">
      <c r="B252" s="264" t="s">
        <v>25</v>
      </c>
      <c r="C252" s="265" t="s">
        <v>2</v>
      </c>
      <c r="D252" s="265" t="s">
        <v>4</v>
      </c>
      <c r="E252" s="265" t="s">
        <v>26</v>
      </c>
      <c r="F252" s="265" t="s">
        <v>5</v>
      </c>
      <c r="G252" s="265" t="s">
        <v>6</v>
      </c>
      <c r="H252" s="265" t="s">
        <v>27</v>
      </c>
      <c r="I252" s="265" t="s">
        <v>28</v>
      </c>
      <c r="J252" s="266" t="s">
        <v>29</v>
      </c>
      <c r="K252" s="266" t="s">
        <v>30</v>
      </c>
      <c r="L252" s="265" t="s">
        <v>3</v>
      </c>
      <c r="M252" s="265" t="s">
        <v>7</v>
      </c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</row>
    <row r="253" spans="2:29" x14ac:dyDescent="0.25">
      <c r="B253" s="268" t="s">
        <v>9</v>
      </c>
      <c r="C253" s="288">
        <f>(C193-C133)/C133</f>
        <v>-0.68713572023313907</v>
      </c>
      <c r="D253" s="288">
        <f t="shared" ref="D253:M253" si="15">(D193-D133)/D133</f>
        <v>-0.63440860215053763</v>
      </c>
      <c r="E253" s="288">
        <f t="shared" si="15"/>
        <v>-0.48844884488448848</v>
      </c>
      <c r="F253" s="288">
        <f t="shared" si="15"/>
        <v>-0.84065934065934067</v>
      </c>
      <c r="G253" s="288">
        <f t="shared" si="15"/>
        <v>-0.57692307692307687</v>
      </c>
      <c r="H253" s="288">
        <f t="shared" si="15"/>
        <v>-0.67848699763593379</v>
      </c>
      <c r="I253" s="288">
        <f t="shared" si="15"/>
        <v>-2.1582733812949641E-2</v>
      </c>
      <c r="J253" s="288">
        <f t="shared" si="15"/>
        <v>-0.1762114537444934</v>
      </c>
      <c r="K253" s="288">
        <f t="shared" si="15"/>
        <v>-8.6592178770949726E-2</v>
      </c>
      <c r="L253" s="288">
        <f t="shared" si="15"/>
        <v>-0.5573248407643312</v>
      </c>
      <c r="M253" s="288">
        <f t="shared" si="15"/>
        <v>-0.6141461400853172</v>
      </c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</row>
    <row r="254" spans="2:29" x14ac:dyDescent="0.25">
      <c r="B254" s="268" t="s">
        <v>10</v>
      </c>
      <c r="C254" s="289">
        <f t="shared" ref="C254:M254" si="16">(C194-C134)/C134</f>
        <v>-0.64902751007534609</v>
      </c>
      <c r="D254" s="289">
        <f t="shared" si="16"/>
        <v>-0.75847457627118642</v>
      </c>
      <c r="E254" s="289">
        <f t="shared" si="16"/>
        <v>-0.46178343949044587</v>
      </c>
      <c r="F254" s="289">
        <f t="shared" si="16"/>
        <v>-0.86554621848739499</v>
      </c>
      <c r="G254" s="289">
        <f t="shared" si="16"/>
        <v>-0.5757575757575758</v>
      </c>
      <c r="H254" s="289">
        <f t="shared" si="16"/>
        <v>-0.53972602739726028</v>
      </c>
      <c r="I254" s="289">
        <f t="shared" si="16"/>
        <v>2.9629629629629631E-2</v>
      </c>
      <c r="J254" s="289">
        <f t="shared" si="16"/>
        <v>-0.27586206896551724</v>
      </c>
      <c r="K254" s="289">
        <f t="shared" si="16"/>
        <v>7.6470588235294124E-2</v>
      </c>
      <c r="L254" s="289">
        <f t="shared" si="16"/>
        <v>-0.49593495934959347</v>
      </c>
      <c r="M254" s="289">
        <f t="shared" si="16"/>
        <v>-0.58911015881018403</v>
      </c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</row>
    <row r="255" spans="2:29" x14ac:dyDescent="0.25">
      <c r="B255" s="268" t="s">
        <v>47</v>
      </c>
      <c r="C255" s="289"/>
      <c r="D255" s="289"/>
      <c r="E255" s="289"/>
      <c r="F255" s="289"/>
      <c r="G255" s="289"/>
      <c r="H255" s="289"/>
      <c r="I255" s="289"/>
      <c r="J255" s="289"/>
      <c r="K255" s="289"/>
      <c r="L255" s="289"/>
      <c r="M255" s="289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</row>
    <row r="256" spans="2:29" x14ac:dyDescent="0.25">
      <c r="B256" s="280" t="s">
        <v>12</v>
      </c>
      <c r="C256" s="282"/>
      <c r="D256" s="282"/>
      <c r="E256" s="282"/>
      <c r="F256" s="282"/>
      <c r="G256" s="282"/>
      <c r="H256" s="282"/>
      <c r="I256" s="282"/>
      <c r="J256" s="282"/>
      <c r="K256" s="282"/>
      <c r="L256" s="282"/>
      <c r="M256" s="282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</row>
    <row r="257" spans="2:29" x14ac:dyDescent="0.25">
      <c r="B257" s="268" t="s">
        <v>48</v>
      </c>
      <c r="C257" s="289"/>
      <c r="D257" s="289"/>
      <c r="E257" s="289"/>
      <c r="F257" s="289"/>
      <c r="G257" s="289"/>
      <c r="H257" s="289"/>
      <c r="I257" s="289"/>
      <c r="J257" s="289"/>
      <c r="K257" s="289"/>
      <c r="L257" s="289"/>
      <c r="M257" s="289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</row>
    <row r="258" spans="2:29" x14ac:dyDescent="0.25">
      <c r="B258" s="268" t="s">
        <v>14</v>
      </c>
      <c r="C258" s="289"/>
      <c r="D258" s="289"/>
      <c r="E258" s="289"/>
      <c r="F258" s="289"/>
      <c r="G258" s="289"/>
      <c r="H258" s="289"/>
      <c r="I258" s="289"/>
      <c r="J258" s="289"/>
      <c r="K258" s="289"/>
      <c r="L258" s="289"/>
      <c r="M258" s="289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</row>
    <row r="259" spans="2:29" x14ac:dyDescent="0.25">
      <c r="B259" s="268" t="s">
        <v>49</v>
      </c>
      <c r="C259" s="289"/>
      <c r="D259" s="289"/>
      <c r="E259" s="289"/>
      <c r="F259" s="289"/>
      <c r="G259" s="289"/>
      <c r="H259" s="289"/>
      <c r="I259" s="289"/>
      <c r="J259" s="289"/>
      <c r="K259" s="289"/>
      <c r="L259" s="289"/>
      <c r="M259" s="289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</row>
    <row r="260" spans="2:29" x14ac:dyDescent="0.25">
      <c r="B260" s="280" t="s">
        <v>16</v>
      </c>
      <c r="C260" s="282"/>
      <c r="D260" s="282"/>
      <c r="E260" s="282"/>
      <c r="F260" s="282"/>
      <c r="G260" s="282"/>
      <c r="H260" s="282"/>
      <c r="I260" s="282"/>
      <c r="J260" s="282"/>
      <c r="K260" s="282"/>
      <c r="L260" s="282"/>
      <c r="M260" s="282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</row>
    <row r="261" spans="2:29" x14ac:dyDescent="0.25">
      <c r="B261" s="268" t="s">
        <v>50</v>
      </c>
      <c r="C261" s="289"/>
      <c r="D261" s="289"/>
      <c r="E261" s="289"/>
      <c r="F261" s="289"/>
      <c r="G261" s="289"/>
      <c r="H261" s="289"/>
      <c r="I261" s="289"/>
      <c r="J261" s="289"/>
      <c r="K261" s="289"/>
      <c r="L261" s="289"/>
      <c r="M261" s="289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</row>
    <row r="262" spans="2:29" x14ac:dyDescent="0.25">
      <c r="B262" s="268" t="s">
        <v>51</v>
      </c>
      <c r="C262" s="289"/>
      <c r="D262" s="289"/>
      <c r="E262" s="289"/>
      <c r="F262" s="289"/>
      <c r="G262" s="289"/>
      <c r="H262" s="289"/>
      <c r="I262" s="289"/>
      <c r="J262" s="289"/>
      <c r="K262" s="289"/>
      <c r="L262" s="289"/>
      <c r="M262" s="289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</row>
    <row r="263" spans="2:29" x14ac:dyDescent="0.25">
      <c r="B263" s="268" t="s">
        <v>19</v>
      </c>
      <c r="C263" s="289"/>
      <c r="D263" s="289"/>
      <c r="E263" s="289"/>
      <c r="F263" s="289"/>
      <c r="G263" s="289"/>
      <c r="H263" s="289"/>
      <c r="I263" s="289"/>
      <c r="J263" s="289"/>
      <c r="K263" s="289"/>
      <c r="L263" s="289"/>
      <c r="M263" s="289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</row>
    <row r="264" spans="2:29" x14ac:dyDescent="0.25">
      <c r="B264" s="280" t="s">
        <v>20</v>
      </c>
      <c r="C264" s="282"/>
      <c r="D264" s="282"/>
      <c r="E264" s="282"/>
      <c r="F264" s="282"/>
      <c r="G264" s="282"/>
      <c r="H264" s="282"/>
      <c r="I264" s="282"/>
      <c r="J264" s="282"/>
      <c r="K264" s="282"/>
      <c r="L264" s="282"/>
      <c r="M264" s="282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</row>
    <row r="265" spans="2:29" x14ac:dyDescent="0.25">
      <c r="B265" s="268" t="s">
        <v>21</v>
      </c>
      <c r="C265" s="289"/>
      <c r="D265" s="289"/>
      <c r="E265" s="289"/>
      <c r="F265" s="289"/>
      <c r="G265" s="289"/>
      <c r="H265" s="289"/>
      <c r="I265" s="289"/>
      <c r="J265" s="289"/>
      <c r="K265" s="289"/>
      <c r="L265" s="289"/>
      <c r="M265" s="289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</row>
    <row r="266" spans="2:29" x14ac:dyDescent="0.25">
      <c r="B266" s="268" t="s">
        <v>22</v>
      </c>
      <c r="C266" s="289"/>
      <c r="D266" s="289"/>
      <c r="E266" s="289"/>
      <c r="F266" s="289"/>
      <c r="G266" s="289"/>
      <c r="H266" s="289"/>
      <c r="I266" s="289"/>
      <c r="J266" s="289"/>
      <c r="K266" s="289"/>
      <c r="L266" s="289"/>
      <c r="M266" s="289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</row>
    <row r="267" spans="2:29" x14ac:dyDescent="0.25">
      <c r="B267" s="268" t="s">
        <v>23</v>
      </c>
      <c r="C267" s="289"/>
      <c r="D267" s="289"/>
      <c r="E267" s="289"/>
      <c r="F267" s="289"/>
      <c r="G267" s="289"/>
      <c r="H267" s="289"/>
      <c r="I267" s="289"/>
      <c r="J267" s="289"/>
      <c r="K267" s="289"/>
      <c r="L267" s="289"/>
      <c r="M267" s="289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</row>
    <row r="268" spans="2:29" x14ac:dyDescent="0.25">
      <c r="B268" s="280" t="s">
        <v>24</v>
      </c>
      <c r="C268" s="282"/>
      <c r="D268" s="282"/>
      <c r="E268" s="282"/>
      <c r="F268" s="282"/>
      <c r="G268" s="282"/>
      <c r="H268" s="282"/>
      <c r="I268" s="282"/>
      <c r="J268" s="282"/>
      <c r="K268" s="282"/>
      <c r="L268" s="282"/>
      <c r="M268" s="282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</row>
    <row r="269" spans="2:29" ht="16.5" thickBot="1" x14ac:dyDescent="0.3">
      <c r="B269" s="284" t="s">
        <v>7</v>
      </c>
      <c r="C269" s="324"/>
      <c r="D269" s="324"/>
      <c r="E269" s="324"/>
      <c r="F269" s="324"/>
      <c r="G269" s="324"/>
      <c r="H269" s="324"/>
      <c r="I269" s="324"/>
      <c r="J269" s="324"/>
      <c r="K269" s="324"/>
      <c r="L269" s="324"/>
      <c r="M269" s="324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</row>
    <row r="270" spans="2:29" x14ac:dyDescent="0.25">
      <c r="H270" s="19"/>
      <c r="I270" s="19"/>
      <c r="J270" s="19"/>
      <c r="K270" s="19"/>
      <c r="L270" s="18"/>
      <c r="M270" s="18"/>
      <c r="N270" s="219"/>
      <c r="O270" s="219"/>
      <c r="P270" s="219"/>
      <c r="Q270" s="219"/>
      <c r="R270" s="219"/>
      <c r="S270" s="219"/>
      <c r="T270" s="219"/>
      <c r="U270" s="219"/>
      <c r="V270" s="219"/>
      <c r="W270" s="219"/>
      <c r="X270" s="219"/>
      <c r="Y270" s="219"/>
      <c r="Z270" s="219"/>
      <c r="AA270" s="219"/>
      <c r="AB270" s="219"/>
    </row>
    <row r="271" spans="2:29" ht="20.25" x14ac:dyDescent="0.3">
      <c r="B271" s="287" t="s">
        <v>212</v>
      </c>
      <c r="C271" s="259"/>
      <c r="D271" s="259"/>
      <c r="E271" s="259"/>
      <c r="F271" s="259"/>
      <c r="G271" s="259"/>
      <c r="H271" s="259"/>
      <c r="I271" s="259"/>
      <c r="J271" s="259"/>
      <c r="K271" s="259"/>
      <c r="L271" s="259"/>
      <c r="M271" s="259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</row>
    <row r="272" spans="2:29" s="263" customFormat="1" ht="15" x14ac:dyDescent="0.25">
      <c r="B272" s="264" t="s">
        <v>25</v>
      </c>
      <c r="C272" s="265" t="s">
        <v>2</v>
      </c>
      <c r="D272" s="265" t="s">
        <v>4</v>
      </c>
      <c r="E272" s="265" t="s">
        <v>26</v>
      </c>
      <c r="F272" s="265" t="s">
        <v>5</v>
      </c>
      <c r="G272" s="265" t="s">
        <v>6</v>
      </c>
      <c r="H272" s="265" t="s">
        <v>27</v>
      </c>
      <c r="I272" s="265" t="s">
        <v>28</v>
      </c>
      <c r="J272" s="266" t="s">
        <v>29</v>
      </c>
      <c r="K272" s="266" t="s">
        <v>30</v>
      </c>
      <c r="L272" s="265" t="s">
        <v>3</v>
      </c>
      <c r="M272" s="265" t="s">
        <v>31</v>
      </c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</row>
    <row r="273" spans="2:29" x14ac:dyDescent="0.25">
      <c r="B273" s="268" t="s">
        <v>9</v>
      </c>
      <c r="C273" s="288">
        <f t="shared" ref="C273:M273" si="17">(C213-C153)/C153</f>
        <v>-0.91548682204312781</v>
      </c>
      <c r="D273" s="288">
        <f t="shared" si="17"/>
        <v>-0.95497185741088175</v>
      </c>
      <c r="E273" s="288">
        <f t="shared" si="17"/>
        <v>-0.63445378151260501</v>
      </c>
      <c r="F273" s="288">
        <f t="shared" si="17"/>
        <v>-0.96579476861167002</v>
      </c>
      <c r="G273" s="288">
        <f t="shared" si="17"/>
        <v>-0.76811594202898548</v>
      </c>
      <c r="H273" s="288">
        <f t="shared" si="17"/>
        <v>-0.58664085188770576</v>
      </c>
      <c r="I273" s="288">
        <f t="shared" si="17"/>
        <v>-0.74172185430463577</v>
      </c>
      <c r="J273" s="288">
        <f t="shared" si="17"/>
        <v>-0.39130434782608697</v>
      </c>
      <c r="K273" s="288">
        <f t="shared" si="17"/>
        <v>-0.5121293800539084</v>
      </c>
      <c r="L273" s="288">
        <f t="shared" si="17"/>
        <v>-0.81210592686002525</v>
      </c>
      <c r="M273" s="288">
        <f t="shared" si="17"/>
        <v>-0.79902277127316312</v>
      </c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</row>
    <row r="274" spans="2:29" x14ac:dyDescent="0.25">
      <c r="B274" s="268" t="s">
        <v>10</v>
      </c>
      <c r="C274" s="289">
        <f t="shared" ref="C274:M274" si="18">(C214-C154)/C154</f>
        <v>-0.86481404095277892</v>
      </c>
      <c r="D274" s="289">
        <f t="shared" si="18"/>
        <v>-0.91279069767441856</v>
      </c>
      <c r="E274" s="289">
        <f t="shared" si="18"/>
        <v>-0.672782874617737</v>
      </c>
      <c r="F274" s="289">
        <f t="shared" si="18"/>
        <v>-0.87878787878787878</v>
      </c>
      <c r="G274" s="289">
        <f t="shared" si="18"/>
        <v>-0.5036496350364964</v>
      </c>
      <c r="H274" s="289">
        <f t="shared" si="18"/>
        <v>-0.67604912998976463</v>
      </c>
      <c r="I274" s="289">
        <f t="shared" si="18"/>
        <v>-0.68644067796610164</v>
      </c>
      <c r="J274" s="289">
        <f t="shared" si="18"/>
        <v>-0.28011204481792717</v>
      </c>
      <c r="K274" s="289">
        <f t="shared" si="18"/>
        <v>-0.47368421052631576</v>
      </c>
      <c r="L274" s="289">
        <f t="shared" si="18"/>
        <v>-0.79148936170212769</v>
      </c>
      <c r="M274" s="289">
        <f t="shared" si="18"/>
        <v>-0.77483769427503446</v>
      </c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</row>
    <row r="275" spans="2:29" x14ac:dyDescent="0.25">
      <c r="B275" s="268" t="s">
        <v>47</v>
      </c>
      <c r="C275" s="289"/>
      <c r="D275" s="289"/>
      <c r="E275" s="289"/>
      <c r="F275" s="289"/>
      <c r="G275" s="289"/>
      <c r="H275" s="289"/>
      <c r="I275" s="289"/>
      <c r="J275" s="289"/>
      <c r="K275" s="289"/>
      <c r="L275" s="289"/>
      <c r="M275" s="289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</row>
    <row r="276" spans="2:29" x14ac:dyDescent="0.25">
      <c r="B276" s="280" t="s">
        <v>12</v>
      </c>
      <c r="C276" s="282"/>
      <c r="D276" s="282"/>
      <c r="E276" s="282"/>
      <c r="F276" s="282"/>
      <c r="G276" s="282"/>
      <c r="H276" s="282"/>
      <c r="I276" s="282"/>
      <c r="J276" s="282"/>
      <c r="K276" s="282"/>
      <c r="L276" s="282"/>
      <c r="M276" s="282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</row>
    <row r="277" spans="2:29" x14ac:dyDescent="0.25">
      <c r="B277" s="268" t="s">
        <v>48</v>
      </c>
      <c r="C277" s="289"/>
      <c r="D277" s="289"/>
      <c r="E277" s="289"/>
      <c r="F277" s="289"/>
      <c r="G277" s="289"/>
      <c r="H277" s="289"/>
      <c r="I277" s="289"/>
      <c r="J277" s="289"/>
      <c r="K277" s="289"/>
      <c r="L277" s="289"/>
      <c r="M277" s="289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</row>
    <row r="278" spans="2:29" x14ac:dyDescent="0.25">
      <c r="B278" s="268" t="s">
        <v>14</v>
      </c>
      <c r="C278" s="289"/>
      <c r="D278" s="289"/>
      <c r="E278" s="289"/>
      <c r="F278" s="289"/>
      <c r="G278" s="289"/>
      <c r="H278" s="289"/>
      <c r="I278" s="289"/>
      <c r="J278" s="289"/>
      <c r="K278" s="289"/>
      <c r="L278" s="289"/>
      <c r="M278" s="289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</row>
    <row r="279" spans="2:29" x14ac:dyDescent="0.25">
      <c r="B279" s="268" t="s">
        <v>49</v>
      </c>
      <c r="C279" s="289"/>
      <c r="D279" s="289"/>
      <c r="E279" s="289"/>
      <c r="F279" s="289"/>
      <c r="G279" s="289"/>
      <c r="H279" s="289"/>
      <c r="I279" s="289"/>
      <c r="J279" s="289"/>
      <c r="K279" s="289"/>
      <c r="L279" s="289"/>
      <c r="M279" s="289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</row>
    <row r="280" spans="2:29" x14ac:dyDescent="0.25">
      <c r="B280" s="280" t="s">
        <v>16</v>
      </c>
      <c r="C280" s="282"/>
      <c r="D280" s="282"/>
      <c r="E280" s="282"/>
      <c r="F280" s="282"/>
      <c r="G280" s="282"/>
      <c r="H280" s="282"/>
      <c r="I280" s="282"/>
      <c r="J280" s="282"/>
      <c r="K280" s="282"/>
      <c r="L280" s="282"/>
      <c r="M280" s="282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</row>
    <row r="281" spans="2:29" x14ac:dyDescent="0.25">
      <c r="B281" s="268" t="s">
        <v>50</v>
      </c>
      <c r="C281" s="289"/>
      <c r="D281" s="289"/>
      <c r="E281" s="289"/>
      <c r="F281" s="289"/>
      <c r="G281" s="289"/>
      <c r="H281" s="289"/>
      <c r="I281" s="289"/>
      <c r="J281" s="289"/>
      <c r="K281" s="289"/>
      <c r="L281" s="289"/>
      <c r="M281" s="289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</row>
    <row r="282" spans="2:29" x14ac:dyDescent="0.25">
      <c r="B282" s="268" t="s">
        <v>51</v>
      </c>
      <c r="C282" s="289"/>
      <c r="D282" s="289"/>
      <c r="E282" s="289"/>
      <c r="F282" s="289"/>
      <c r="G282" s="289"/>
      <c r="H282" s="289"/>
      <c r="I282" s="289"/>
      <c r="J282" s="289"/>
      <c r="K282" s="289"/>
      <c r="L282" s="289"/>
      <c r="M282" s="289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</row>
    <row r="283" spans="2:29" x14ac:dyDescent="0.25">
      <c r="B283" s="268" t="s">
        <v>19</v>
      </c>
      <c r="C283" s="289"/>
      <c r="D283" s="289"/>
      <c r="E283" s="289"/>
      <c r="F283" s="289"/>
      <c r="G283" s="289"/>
      <c r="H283" s="289"/>
      <c r="I283" s="289"/>
      <c r="J283" s="289"/>
      <c r="K283" s="289"/>
      <c r="L283" s="289"/>
      <c r="M283" s="289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</row>
    <row r="284" spans="2:29" x14ac:dyDescent="0.25">
      <c r="B284" s="280" t="s">
        <v>20</v>
      </c>
      <c r="C284" s="282"/>
      <c r="D284" s="282"/>
      <c r="E284" s="282"/>
      <c r="F284" s="282"/>
      <c r="G284" s="282"/>
      <c r="H284" s="282"/>
      <c r="I284" s="282"/>
      <c r="J284" s="282"/>
      <c r="K284" s="282"/>
      <c r="L284" s="282"/>
      <c r="M284" s="282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</row>
    <row r="285" spans="2:29" x14ac:dyDescent="0.25">
      <c r="B285" s="268" t="s">
        <v>21</v>
      </c>
      <c r="C285" s="289"/>
      <c r="D285" s="289"/>
      <c r="E285" s="289"/>
      <c r="F285" s="289"/>
      <c r="G285" s="289"/>
      <c r="H285" s="289"/>
      <c r="I285" s="289"/>
      <c r="J285" s="289"/>
      <c r="K285" s="289"/>
      <c r="L285" s="289"/>
      <c r="M285" s="289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</row>
    <row r="286" spans="2:29" x14ac:dyDescent="0.25">
      <c r="B286" s="268" t="s">
        <v>22</v>
      </c>
      <c r="C286" s="289"/>
      <c r="D286" s="289"/>
      <c r="E286" s="289"/>
      <c r="F286" s="289"/>
      <c r="G286" s="289"/>
      <c r="H286" s="289"/>
      <c r="I286" s="289"/>
      <c r="J286" s="289"/>
      <c r="K286" s="289"/>
      <c r="L286" s="289"/>
      <c r="M286" s="289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</row>
    <row r="287" spans="2:29" x14ac:dyDescent="0.25">
      <c r="B287" s="268" t="s">
        <v>23</v>
      </c>
      <c r="C287" s="289"/>
      <c r="D287" s="289"/>
      <c r="E287" s="289"/>
      <c r="F287" s="289"/>
      <c r="G287" s="289"/>
      <c r="H287" s="289"/>
      <c r="I287" s="289"/>
      <c r="J287" s="289"/>
      <c r="K287" s="289"/>
      <c r="L287" s="289"/>
      <c r="M287" s="289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</row>
    <row r="288" spans="2:29" x14ac:dyDescent="0.25">
      <c r="B288" s="280" t="s">
        <v>24</v>
      </c>
      <c r="C288" s="282"/>
      <c r="D288" s="282"/>
      <c r="E288" s="282"/>
      <c r="F288" s="282"/>
      <c r="G288" s="282"/>
      <c r="H288" s="282"/>
      <c r="I288" s="282"/>
      <c r="J288" s="282"/>
      <c r="K288" s="282"/>
      <c r="L288" s="282"/>
      <c r="M288" s="282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</row>
    <row r="289" spans="2:30" ht="16.5" thickBot="1" x14ac:dyDescent="0.3">
      <c r="B289" s="284" t="s">
        <v>7</v>
      </c>
      <c r="C289" s="324"/>
      <c r="D289" s="324"/>
      <c r="E289" s="324"/>
      <c r="F289" s="324"/>
      <c r="G289" s="324"/>
      <c r="H289" s="324"/>
      <c r="I289" s="324"/>
      <c r="J289" s="324"/>
      <c r="K289" s="324"/>
      <c r="L289" s="324"/>
      <c r="M289" s="324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</row>
    <row r="290" spans="2:30" x14ac:dyDescent="0.25">
      <c r="C290" s="11"/>
      <c r="D290" s="11"/>
      <c r="E290" s="11"/>
      <c r="F290" s="11"/>
      <c r="G290" s="11"/>
      <c r="H290" s="17"/>
      <c r="I290" s="17"/>
      <c r="J290" s="17"/>
      <c r="K290" s="17"/>
      <c r="L290" s="17"/>
      <c r="M290" s="18"/>
    </row>
    <row r="291" spans="2:30" ht="20.25" x14ac:dyDescent="0.3">
      <c r="B291" s="287" t="s">
        <v>213</v>
      </c>
      <c r="C291" s="259"/>
      <c r="D291" s="259"/>
      <c r="E291" s="259"/>
      <c r="F291" s="259"/>
      <c r="G291" s="259"/>
      <c r="H291" s="259"/>
      <c r="I291" s="259"/>
      <c r="J291" s="259"/>
      <c r="K291" s="259"/>
      <c r="L291" s="259"/>
      <c r="M291" s="259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</row>
    <row r="292" spans="2:30" s="263" customFormat="1" ht="18.75" x14ac:dyDescent="0.25">
      <c r="B292" s="264" t="s">
        <v>25</v>
      </c>
      <c r="C292" s="265" t="s">
        <v>32</v>
      </c>
      <c r="D292" s="265" t="s">
        <v>33</v>
      </c>
      <c r="E292" s="265" t="s">
        <v>34</v>
      </c>
      <c r="F292" s="265" t="s">
        <v>35</v>
      </c>
      <c r="G292" s="265" t="s">
        <v>53</v>
      </c>
      <c r="H292" s="265" t="s">
        <v>31</v>
      </c>
      <c r="I292" s="265" t="s">
        <v>214</v>
      </c>
      <c r="J292" s="266" t="s">
        <v>191</v>
      </c>
      <c r="K292" s="266" t="s">
        <v>185</v>
      </c>
      <c r="L292" s="266" t="s">
        <v>60</v>
      </c>
      <c r="M292" s="265" t="s">
        <v>59</v>
      </c>
      <c r="N292" s="265" t="s">
        <v>58</v>
      </c>
      <c r="O292" s="265" t="s">
        <v>57</v>
      </c>
      <c r="P292" s="266" t="s">
        <v>55</v>
      </c>
      <c r="Q292" s="266" t="s">
        <v>56</v>
      </c>
      <c r="R292" s="265" t="s">
        <v>54</v>
      </c>
      <c r="S292" s="265" t="s">
        <v>52</v>
      </c>
      <c r="T292" s="265" t="s">
        <v>46</v>
      </c>
      <c r="U292" s="266" t="s">
        <v>45</v>
      </c>
      <c r="V292" s="266" t="s">
        <v>43</v>
      </c>
      <c r="W292" s="265" t="s">
        <v>37</v>
      </c>
      <c r="X292" s="265" t="s">
        <v>36</v>
      </c>
      <c r="Y292" s="6"/>
      <c r="Z292" s="6"/>
      <c r="AA292" s="6"/>
      <c r="AB292" s="6"/>
      <c r="AC292" s="6"/>
      <c r="AD292" s="6"/>
    </row>
    <row r="293" spans="2:30" x14ac:dyDescent="0.25">
      <c r="B293" s="268" t="s">
        <v>9</v>
      </c>
      <c r="C293" s="269">
        <f>'Data Entry'!B114</f>
        <v>694</v>
      </c>
      <c r="D293" s="269">
        <f>'Data Entry'!C114</f>
        <v>622</v>
      </c>
      <c r="E293" s="269">
        <f>'Data Entry'!D114</f>
        <v>493</v>
      </c>
      <c r="F293" s="269">
        <f>'Data Entry'!E114</f>
        <v>109</v>
      </c>
      <c r="G293" s="270">
        <f>'Data Entry'!F114</f>
        <v>886</v>
      </c>
      <c r="H293" s="271">
        <f>'Data Entry'!G114</f>
        <v>2804</v>
      </c>
      <c r="I293" s="290">
        <f>(C293*2+D293*5.5+E293*11.5+F293*19+G293*23)/H293</f>
        <v>11.743045649072753</v>
      </c>
      <c r="J293" s="291">
        <f>[11]Summary!I293</f>
        <v>7.902229255538737</v>
      </c>
      <c r="K293" s="291">
        <v>7.7334478021978024</v>
      </c>
      <c r="L293" s="291">
        <v>8.0833086712044988</v>
      </c>
      <c r="M293" s="292">
        <v>8.0091812161348592</v>
      </c>
      <c r="N293" s="292">
        <v>8.4775625885687287</v>
      </c>
      <c r="O293" s="290">
        <v>8.383790602333649</v>
      </c>
      <c r="P293" s="291">
        <v>8.3673558787453999</v>
      </c>
      <c r="Q293" s="291">
        <v>8.5044171307854803</v>
      </c>
      <c r="R293" s="292">
        <v>8.5612141992739001</v>
      </c>
      <c r="S293" s="292">
        <v>8.6655206286836943</v>
      </c>
      <c r="T293" s="290">
        <v>7.3554850897314799</v>
      </c>
      <c r="U293" s="291">
        <v>8.5672790466732867</v>
      </c>
      <c r="V293" s="291">
        <v>8.7992633517495396</v>
      </c>
      <c r="W293" s="292">
        <v>8.1843886462882089</v>
      </c>
      <c r="X293" s="292">
        <v>9.6352663016426074</v>
      </c>
      <c r="Y293" s="6"/>
      <c r="Z293" s="6"/>
      <c r="AA293" s="6"/>
      <c r="AB293" s="6"/>
      <c r="AC293" s="6"/>
      <c r="AD293" s="6"/>
    </row>
    <row r="294" spans="2:30" x14ac:dyDescent="0.25">
      <c r="B294" s="268" t="s">
        <v>10</v>
      </c>
      <c r="C294" s="274">
        <f>'Data Entry'!B119</f>
        <v>739</v>
      </c>
      <c r="D294" s="274">
        <f>'Data Entry'!C119</f>
        <v>934</v>
      </c>
      <c r="E294" s="274">
        <f>'Data Entry'!D119</f>
        <v>842</v>
      </c>
      <c r="F294" s="274">
        <f>'Data Entry'!E119</f>
        <v>139</v>
      </c>
      <c r="G294" s="275">
        <f>'Data Entry'!F119</f>
        <v>606</v>
      </c>
      <c r="H294" s="276">
        <f>'Data Entry'!G119</f>
        <v>3260</v>
      </c>
      <c r="I294" s="293">
        <f t="shared" ref="I294:I309" si="19">(C294*2+D294*5.5+E294*11.5+F294*19+G294*23)/H294</f>
        <v>10.084969325153374</v>
      </c>
      <c r="J294" s="294">
        <f>[11]Summary!I294</f>
        <v>7.6606377615326444</v>
      </c>
      <c r="K294" s="294">
        <v>7.4520728643216083</v>
      </c>
      <c r="L294" s="294">
        <v>7.5422582826233944</v>
      </c>
      <c r="M294" s="295">
        <v>7.5635496726444638</v>
      </c>
      <c r="N294" s="295">
        <v>7.576663239829637</v>
      </c>
      <c r="O294" s="293">
        <v>7.7522922212363206</v>
      </c>
      <c r="P294" s="294">
        <v>7.9499458455825467</v>
      </c>
      <c r="Q294" s="294">
        <v>8.2163102511880517</v>
      </c>
      <c r="R294" s="295">
        <v>8.2787392967753686</v>
      </c>
      <c r="S294" s="295">
        <v>8.098509126375923</v>
      </c>
      <c r="T294" s="293">
        <v>7.5110850286906627</v>
      </c>
      <c r="U294" s="294">
        <v>8.2995060619667722</v>
      </c>
      <c r="V294" s="294">
        <v>8.6119523195876297</v>
      </c>
      <c r="W294" s="295">
        <v>7.973934927197555</v>
      </c>
      <c r="X294" s="295">
        <v>9.7558320373250389</v>
      </c>
      <c r="Y294" s="6"/>
      <c r="Z294" s="6"/>
      <c r="AA294" s="6"/>
      <c r="AB294" s="6"/>
      <c r="AC294" s="6"/>
      <c r="AD294" s="6"/>
    </row>
    <row r="295" spans="2:30" x14ac:dyDescent="0.25">
      <c r="B295" s="268" t="s">
        <v>47</v>
      </c>
      <c r="C295" s="274"/>
      <c r="D295" s="274"/>
      <c r="E295" s="274"/>
      <c r="F295" s="274"/>
      <c r="G295" s="275"/>
      <c r="H295" s="276"/>
      <c r="I295" s="293"/>
      <c r="J295" s="294">
        <f>[11]Summary!I295</f>
        <v>7.3057659022068373</v>
      </c>
      <c r="K295" s="294">
        <v>6.5996099763933076</v>
      </c>
      <c r="L295" s="294">
        <v>7.2969019923989409</v>
      </c>
      <c r="M295" s="295">
        <v>7.383197763091002</v>
      </c>
      <c r="N295" s="295">
        <v>7.2763725725245747</v>
      </c>
      <c r="O295" s="293">
        <v>7.4088617670469619</v>
      </c>
      <c r="P295" s="294">
        <v>7.4198722305287479</v>
      </c>
      <c r="Q295" s="294">
        <v>7.4914621896972307</v>
      </c>
      <c r="R295" s="295">
        <v>7.8276163808190411</v>
      </c>
      <c r="S295" s="295">
        <v>7.432571631541558</v>
      </c>
      <c r="T295" s="293">
        <v>6.8695300656897427</v>
      </c>
      <c r="U295" s="294">
        <v>7.6423944026949986</v>
      </c>
      <c r="V295" s="294">
        <v>8.0749606974417603</v>
      </c>
      <c r="W295" s="295">
        <v>7.5809955525145396</v>
      </c>
      <c r="X295" s="295">
        <v>8.9002028397565915</v>
      </c>
      <c r="Y295" s="6"/>
      <c r="Z295" s="6"/>
      <c r="AA295" s="6"/>
      <c r="AB295" s="6"/>
      <c r="AC295" s="6"/>
      <c r="AD295" s="6"/>
    </row>
    <row r="296" spans="2:30" x14ac:dyDescent="0.25">
      <c r="B296" s="280" t="s">
        <v>12</v>
      </c>
      <c r="C296" s="281">
        <f t="shared" ref="C296:H296" si="20">SUM(C293:C295)</f>
        <v>1433</v>
      </c>
      <c r="D296" s="281">
        <f t="shared" si="20"/>
        <v>1556</v>
      </c>
      <c r="E296" s="281">
        <f t="shared" si="20"/>
        <v>1335</v>
      </c>
      <c r="F296" s="281">
        <f t="shared" si="20"/>
        <v>248</v>
      </c>
      <c r="G296" s="281">
        <f t="shared" si="20"/>
        <v>1492</v>
      </c>
      <c r="H296" s="281">
        <f t="shared" si="20"/>
        <v>6064</v>
      </c>
      <c r="I296" s="296">
        <f t="shared" si="19"/>
        <v>10.851665567282321</v>
      </c>
      <c r="J296" s="296">
        <f>[11]Summary!I296</f>
        <v>7.5982614031499285</v>
      </c>
      <c r="K296" s="296">
        <v>7.2016170996277467</v>
      </c>
      <c r="L296" s="296">
        <v>7.6090821509896651</v>
      </c>
      <c r="M296" s="296">
        <v>7.6351332528554181</v>
      </c>
      <c r="N296" s="296">
        <v>7.7262580225095343</v>
      </c>
      <c r="O296" s="296">
        <v>7.8208991376804571</v>
      </c>
      <c r="P296" s="296">
        <v>7.8722281968556356</v>
      </c>
      <c r="Q296" s="296">
        <v>8.0197586893956174</v>
      </c>
      <c r="R296" s="296">
        <v>8.2058969123197816</v>
      </c>
      <c r="S296" s="296">
        <v>7.9990566471860474</v>
      </c>
      <c r="T296" s="296">
        <v>7.2107191479138306</v>
      </c>
      <c r="U296" s="296">
        <v>8.1305464507607255</v>
      </c>
      <c r="V296" s="296">
        <v>8.4649047491279852</v>
      </c>
      <c r="W296" s="296">
        <v>7.8905497529551569</v>
      </c>
      <c r="X296" s="296">
        <v>9.4061640270652092</v>
      </c>
      <c r="Y296" s="6"/>
      <c r="Z296" s="297"/>
      <c r="AA296" s="6"/>
      <c r="AB296" s="6"/>
      <c r="AC296" s="6"/>
      <c r="AD296" s="6"/>
    </row>
    <row r="297" spans="2:30" x14ac:dyDescent="0.25">
      <c r="B297" s="268" t="s">
        <v>48</v>
      </c>
      <c r="C297" s="274"/>
      <c r="D297" s="274"/>
      <c r="E297" s="274"/>
      <c r="F297" s="274"/>
      <c r="G297" s="275"/>
      <c r="H297" s="276"/>
      <c r="I297" s="293"/>
      <c r="J297" s="294">
        <f>[11]Summary!I297</f>
        <v>6.8215542218543046</v>
      </c>
      <c r="K297" s="294">
        <v>6.3435286103542232</v>
      </c>
      <c r="L297" s="294">
        <v>6.4728055301943392</v>
      </c>
      <c r="M297" s="295">
        <v>6.8223855359001044</v>
      </c>
      <c r="N297" s="295">
        <v>6.5118227372377078</v>
      </c>
      <c r="O297" s="293">
        <v>6.9066341002206117</v>
      </c>
      <c r="P297" s="294">
        <v>7.1921161825726143</v>
      </c>
      <c r="Q297" s="294">
        <v>6.9975825275091701</v>
      </c>
      <c r="R297" s="295">
        <v>7.5451288176079165</v>
      </c>
      <c r="S297" s="295">
        <v>7.2834523439925487</v>
      </c>
      <c r="T297" s="293">
        <v>6.9590873836608065</v>
      </c>
      <c r="U297" s="294">
        <v>7.6349499523355577</v>
      </c>
      <c r="V297" s="294">
        <v>7.3623508255680887</v>
      </c>
      <c r="W297" s="295">
        <v>6.8058284762697756</v>
      </c>
      <c r="X297" s="295">
        <v>8.6774597869229169</v>
      </c>
      <c r="Y297" s="6"/>
      <c r="Z297" s="297"/>
      <c r="AA297" s="6"/>
      <c r="AB297" s="6"/>
      <c r="AC297" s="6"/>
      <c r="AD297" s="6"/>
    </row>
    <row r="298" spans="2:30" x14ac:dyDescent="0.25">
      <c r="B298" s="268" t="s">
        <v>14</v>
      </c>
      <c r="C298" s="274"/>
      <c r="D298" s="274"/>
      <c r="E298" s="274"/>
      <c r="F298" s="274"/>
      <c r="G298" s="275"/>
      <c r="H298" s="276"/>
      <c r="I298" s="293"/>
      <c r="J298" s="294">
        <f>[11]Summary!I298</f>
        <v>6.9716901408450704</v>
      </c>
      <c r="K298" s="294">
        <v>6.3203500077435342</v>
      </c>
      <c r="L298" s="294">
        <v>6.5790926341210971</v>
      </c>
      <c r="M298" s="295">
        <v>6.4972005429250084</v>
      </c>
      <c r="N298" s="295">
        <v>6.610048649555444</v>
      </c>
      <c r="O298" s="293">
        <v>6.8570240295748617</v>
      </c>
      <c r="P298" s="294">
        <v>6.6438570487483535</v>
      </c>
      <c r="Q298" s="294">
        <v>6.4571509648127128</v>
      </c>
      <c r="R298" s="295">
        <v>7.0877354157096919</v>
      </c>
      <c r="S298" s="295">
        <v>6.5312401138880105</v>
      </c>
      <c r="T298" s="293">
        <v>6.964601129289127</v>
      </c>
      <c r="U298" s="294">
        <v>7.1620785648004945</v>
      </c>
      <c r="V298" s="294">
        <v>7.1504115962777384</v>
      </c>
      <c r="W298" s="295">
        <v>6.7797270955165692</v>
      </c>
      <c r="X298" s="295">
        <v>7.8727969348659004</v>
      </c>
      <c r="Y298" s="6"/>
      <c r="Z298" s="297"/>
      <c r="AA298" s="6"/>
      <c r="AB298" s="6"/>
      <c r="AC298" s="6"/>
      <c r="AD298" s="6"/>
    </row>
    <row r="299" spans="2:30" x14ac:dyDescent="0.25">
      <c r="B299" s="268" t="s">
        <v>49</v>
      </c>
      <c r="C299" s="274"/>
      <c r="D299" s="274"/>
      <c r="E299" s="274"/>
      <c r="F299" s="274"/>
      <c r="G299" s="275"/>
      <c r="H299" s="276"/>
      <c r="I299" s="293"/>
      <c r="J299" s="294">
        <f>[11]Summary!I299</f>
        <v>7.6168287210172023</v>
      </c>
      <c r="K299" s="294">
        <v>6.6556907659269866</v>
      </c>
      <c r="L299" s="294">
        <v>6.806627101879327</v>
      </c>
      <c r="M299" s="295">
        <v>7.1600264350453173</v>
      </c>
      <c r="N299" s="295">
        <v>7.1304191401331174</v>
      </c>
      <c r="O299" s="293">
        <v>7.0831767898142353</v>
      </c>
      <c r="P299" s="294">
        <v>7.188628824179875</v>
      </c>
      <c r="Q299" s="294">
        <v>7.375</v>
      </c>
      <c r="R299" s="295">
        <v>7.5903225806451609</v>
      </c>
      <c r="S299" s="295">
        <v>7.5524536321483771</v>
      </c>
      <c r="T299" s="293">
        <v>7.3229183978726944</v>
      </c>
      <c r="U299" s="294">
        <v>7.4819503849443967</v>
      </c>
      <c r="V299" s="294">
        <v>7.5441670163659253</v>
      </c>
      <c r="W299" s="295">
        <v>7.2129467633091728</v>
      </c>
      <c r="X299" s="295">
        <v>8.2398458345686336</v>
      </c>
      <c r="Y299" s="6"/>
      <c r="Z299" s="297"/>
      <c r="AA299" s="6"/>
      <c r="AB299" s="6"/>
      <c r="AC299" s="6"/>
      <c r="AD299" s="6"/>
    </row>
    <row r="300" spans="2:30" x14ac:dyDescent="0.25">
      <c r="B300" s="280" t="s">
        <v>16</v>
      </c>
      <c r="C300" s="281"/>
      <c r="D300" s="281"/>
      <c r="E300" s="281"/>
      <c r="F300" s="281"/>
      <c r="G300" s="281"/>
      <c r="H300" s="281"/>
      <c r="I300" s="296"/>
      <c r="J300" s="296">
        <f>[11]Summary!I300</f>
        <v>7.0937353405262487</v>
      </c>
      <c r="K300" s="296">
        <v>6.4257931390250196</v>
      </c>
      <c r="L300" s="296">
        <v>6.5971974728657052</v>
      </c>
      <c r="M300" s="296">
        <v>6.81557898082424</v>
      </c>
      <c r="N300" s="296">
        <v>6.7365687479057303</v>
      </c>
      <c r="O300" s="296">
        <v>6.941530186740799</v>
      </c>
      <c r="P300" s="296">
        <v>7.0133489961554893</v>
      </c>
      <c r="Q300" s="296">
        <v>6.9208577993362264</v>
      </c>
      <c r="R300" s="296">
        <v>7.4217794572311924</v>
      </c>
      <c r="S300" s="296">
        <v>7.0959866220735783</v>
      </c>
      <c r="T300" s="296">
        <v>7.0668925459825749</v>
      </c>
      <c r="U300" s="296">
        <v>7.4440660773800902</v>
      </c>
      <c r="V300" s="296">
        <v>7.3430574949911964</v>
      </c>
      <c r="W300" s="296">
        <v>6.904598308668076</v>
      </c>
      <c r="X300" s="296">
        <v>8.2943271221532093</v>
      </c>
      <c r="Y300" s="6"/>
      <c r="Z300" s="297"/>
      <c r="AA300" s="6"/>
      <c r="AB300" s="6"/>
      <c r="AC300" s="6"/>
      <c r="AD300" s="6"/>
    </row>
    <row r="301" spans="2:30" x14ac:dyDescent="0.25">
      <c r="B301" s="268" t="s">
        <v>50</v>
      </c>
      <c r="C301" s="274"/>
      <c r="D301" s="274"/>
      <c r="E301" s="274"/>
      <c r="F301" s="274"/>
      <c r="G301" s="275"/>
      <c r="H301" s="276"/>
      <c r="I301" s="293"/>
      <c r="J301" s="294">
        <f>[11]Summary!I301</f>
        <v>8.412357743691242</v>
      </c>
      <c r="K301" s="294">
        <v>7.5555613961312025</v>
      </c>
      <c r="L301" s="294">
        <v>8.0687732342007443</v>
      </c>
      <c r="M301" s="295">
        <v>8.7213021594414677</v>
      </c>
      <c r="N301" s="295">
        <v>8.149723036819811</v>
      </c>
      <c r="O301" s="293">
        <v>8.631183521863921</v>
      </c>
      <c r="P301" s="294">
        <v>9.2699790481891657</v>
      </c>
      <c r="Q301" s="294">
        <v>8.87800875273523</v>
      </c>
      <c r="R301" s="295">
        <v>9.2351453855878631</v>
      </c>
      <c r="S301" s="295">
        <v>8.6036042504307861</v>
      </c>
      <c r="T301" s="293">
        <v>9.0833333333333339</v>
      </c>
      <c r="U301" s="294">
        <v>9.2593351548269585</v>
      </c>
      <c r="V301" s="294">
        <v>9.0201050385688504</v>
      </c>
      <c r="W301" s="295">
        <v>8.1079307201458519</v>
      </c>
      <c r="X301" s="295">
        <v>9.3012989872302949</v>
      </c>
      <c r="Y301" s="6"/>
      <c r="Z301" s="297"/>
      <c r="AA301" s="6"/>
      <c r="AB301" s="6"/>
      <c r="AC301" s="6"/>
      <c r="AD301" s="6"/>
    </row>
    <row r="302" spans="2:30" x14ac:dyDescent="0.25">
      <c r="B302" s="268" t="s">
        <v>51</v>
      </c>
      <c r="C302" s="274"/>
      <c r="D302" s="274"/>
      <c r="E302" s="274"/>
      <c r="F302" s="274"/>
      <c r="G302" s="275"/>
      <c r="H302" s="276"/>
      <c r="I302" s="293"/>
      <c r="J302" s="294">
        <f>[11]Summary!I302</f>
        <v>7.686927840603123</v>
      </c>
      <c r="K302" s="294">
        <v>6.9799812030075188</v>
      </c>
      <c r="L302" s="294">
        <v>6.9670669256577789</v>
      </c>
      <c r="M302" s="295">
        <v>7.4538796861377508</v>
      </c>
      <c r="N302" s="295">
        <v>7.3700903719151896</v>
      </c>
      <c r="O302" s="293">
        <v>8.1153004377238354</v>
      </c>
      <c r="P302" s="294">
        <v>8.2002993265153403</v>
      </c>
      <c r="Q302" s="294">
        <v>7.9574628472970064</v>
      </c>
      <c r="R302" s="295">
        <v>7.6675660588016372</v>
      </c>
      <c r="S302" s="295">
        <v>7.4079621294428062</v>
      </c>
      <c r="T302" s="293">
        <v>7.8929860008659256</v>
      </c>
      <c r="U302" s="294">
        <v>7.9965494577719358</v>
      </c>
      <c r="V302" s="294">
        <v>7.9726457399103143</v>
      </c>
      <c r="W302" s="295">
        <v>7.2634243994347623</v>
      </c>
      <c r="X302" s="295">
        <v>8.2673755186721998</v>
      </c>
      <c r="Y302" s="6"/>
      <c r="Z302" s="6"/>
      <c r="AA302" s="6"/>
      <c r="AB302" s="6"/>
      <c r="AC302" s="6"/>
      <c r="AD302" s="6"/>
    </row>
    <row r="303" spans="2:30" x14ac:dyDescent="0.25">
      <c r="B303" s="268" t="s">
        <v>19</v>
      </c>
      <c r="C303" s="274"/>
      <c r="D303" s="274"/>
      <c r="E303" s="274"/>
      <c r="F303" s="274"/>
      <c r="G303" s="275"/>
      <c r="H303" s="276"/>
      <c r="I303" s="293"/>
      <c r="J303" s="294">
        <f>[11]Summary!I303</f>
        <v>14.616809116809117</v>
      </c>
      <c r="K303" s="294">
        <v>8.0222222222222221</v>
      </c>
      <c r="L303" s="294">
        <v>7.9731457800511505</v>
      </c>
      <c r="M303" s="295">
        <v>7.9163129169193454</v>
      </c>
      <c r="N303" s="295">
        <v>8.883022774327122</v>
      </c>
      <c r="O303" s="293">
        <v>8.6257941550190598</v>
      </c>
      <c r="P303" s="294">
        <v>7.7220828105395229</v>
      </c>
      <c r="Q303" s="294">
        <v>7.8922291548496881</v>
      </c>
      <c r="R303" s="295">
        <v>6.9361078546307153</v>
      </c>
      <c r="S303" s="295">
        <v>9.012835820895523</v>
      </c>
      <c r="T303" s="293">
        <v>8.6434621492853356</v>
      </c>
      <c r="U303" s="294">
        <v>7.9997723132969032</v>
      </c>
      <c r="V303" s="294">
        <v>7.5291803278688523</v>
      </c>
      <c r="W303" s="295">
        <v>7.395161290322581</v>
      </c>
      <c r="X303" s="295">
        <v>7.8779731127197516</v>
      </c>
      <c r="Y303" s="6"/>
      <c r="Z303" s="6"/>
      <c r="AA303" s="6"/>
      <c r="AB303" s="6"/>
      <c r="AC303" s="6"/>
      <c r="AD303" s="6"/>
    </row>
    <row r="304" spans="2:30" x14ac:dyDescent="0.25">
      <c r="B304" s="280" t="s">
        <v>20</v>
      </c>
      <c r="C304" s="281"/>
      <c r="D304" s="281"/>
      <c r="E304" s="281"/>
      <c r="F304" s="281"/>
      <c r="G304" s="281"/>
      <c r="H304" s="281"/>
      <c r="I304" s="296"/>
      <c r="J304" s="296">
        <f>[11]Summary!I304</f>
        <v>8.2099539809619877</v>
      </c>
      <c r="K304" s="296">
        <v>7.4186918147745136</v>
      </c>
      <c r="L304" s="296">
        <v>7.6359170675520023</v>
      </c>
      <c r="M304" s="296">
        <v>8.0865760909695048</v>
      </c>
      <c r="N304" s="296">
        <v>7.8931114609099771</v>
      </c>
      <c r="O304" s="296">
        <v>8.4234608320689937</v>
      </c>
      <c r="P304" s="296">
        <v>8.7200651200651205</v>
      </c>
      <c r="Q304" s="296">
        <v>8.4084661043423932</v>
      </c>
      <c r="R304" s="296">
        <v>8.2565982404692075</v>
      </c>
      <c r="S304" s="296">
        <v>8.1382774167882239</v>
      </c>
      <c r="T304" s="296">
        <v>8.5070458296305702</v>
      </c>
      <c r="U304" s="296">
        <v>8.5564895763281772</v>
      </c>
      <c r="V304" s="296">
        <v>8.445065408180163</v>
      </c>
      <c r="W304" s="296">
        <v>7.7022641855348795</v>
      </c>
      <c r="X304" s="296">
        <v>8.7286171916711162</v>
      </c>
      <c r="Y304" s="6"/>
      <c r="Z304" s="6"/>
      <c r="AA304" s="6"/>
      <c r="AB304" s="6"/>
      <c r="AC304" s="6"/>
      <c r="AD304" s="6"/>
    </row>
    <row r="305" spans="2:30" x14ac:dyDescent="0.25">
      <c r="B305" s="268" t="s">
        <v>21</v>
      </c>
      <c r="C305" s="274"/>
      <c r="D305" s="274"/>
      <c r="E305" s="274"/>
      <c r="F305" s="274"/>
      <c r="G305" s="275"/>
      <c r="H305" s="276"/>
      <c r="I305" s="293"/>
      <c r="J305" s="294">
        <f>[11]Summary!I305</f>
        <v>17.352990033222593</v>
      </c>
      <c r="K305" s="294">
        <v>6.6586568083795443</v>
      </c>
      <c r="L305" s="294">
        <v>6.6291798662442805</v>
      </c>
      <c r="M305" s="295">
        <v>7.9997763864042932</v>
      </c>
      <c r="N305" s="295">
        <v>7.171929065743945</v>
      </c>
      <c r="O305" s="293">
        <v>6.9771399106222072</v>
      </c>
      <c r="P305" s="294">
        <v>7.9292988640814732</v>
      </c>
      <c r="Q305" s="294">
        <v>7.3222259810554799</v>
      </c>
      <c r="R305" s="295">
        <v>6.9586264656616414</v>
      </c>
      <c r="S305" s="295">
        <v>8.1351293103448281</v>
      </c>
      <c r="T305" s="293">
        <v>8.1194239550403928</v>
      </c>
      <c r="U305" s="294">
        <v>8.2115001989653802</v>
      </c>
      <c r="V305" s="294">
        <v>8.3041089345437165</v>
      </c>
      <c r="W305" s="295">
        <v>8.5726238286479255</v>
      </c>
      <c r="X305" s="295">
        <v>7.86857476635514</v>
      </c>
      <c r="Y305" s="6"/>
      <c r="Z305" s="6"/>
      <c r="AA305" s="6"/>
      <c r="AB305" s="6"/>
      <c r="AC305" s="6"/>
      <c r="AD305" s="6"/>
    </row>
    <row r="306" spans="2:30" x14ac:dyDescent="0.25">
      <c r="B306" s="268" t="s">
        <v>22</v>
      </c>
      <c r="C306" s="274"/>
      <c r="D306" s="274"/>
      <c r="E306" s="274"/>
      <c r="F306" s="274"/>
      <c r="G306" s="275"/>
      <c r="H306" s="276"/>
      <c r="I306" s="293"/>
      <c r="J306" s="294">
        <f>[11]Summary!I306</f>
        <v>16.277521170130871</v>
      </c>
      <c r="K306" s="294">
        <v>6.6021046210157088</v>
      </c>
      <c r="L306" s="294">
        <v>6.628458829448264</v>
      </c>
      <c r="M306" s="295">
        <v>6.7084417696811975</v>
      </c>
      <c r="N306" s="295">
        <v>6.8023549201009255</v>
      </c>
      <c r="O306" s="293">
        <v>7.1887765628223645</v>
      </c>
      <c r="P306" s="294">
        <v>6.9966818023052744</v>
      </c>
      <c r="Q306" s="294">
        <v>7.055054671014771</v>
      </c>
      <c r="R306" s="295">
        <v>7.2140951990151825</v>
      </c>
      <c r="S306" s="295">
        <v>7.3684751335799428</v>
      </c>
      <c r="T306" s="293">
        <v>7.2649678377041065</v>
      </c>
      <c r="U306" s="294">
        <v>6.8335194639438415</v>
      </c>
      <c r="V306" s="294">
        <v>7.1221093202522772</v>
      </c>
      <c r="W306" s="295">
        <v>7.6010204081632651</v>
      </c>
      <c r="X306" s="295">
        <v>7.2501651618586216</v>
      </c>
      <c r="Y306" s="6"/>
      <c r="Z306" s="6"/>
      <c r="AA306" s="6"/>
      <c r="AB306" s="6"/>
      <c r="AC306" s="6"/>
      <c r="AD306" s="6"/>
    </row>
    <row r="307" spans="2:30" x14ac:dyDescent="0.25">
      <c r="B307" s="268" t="s">
        <v>23</v>
      </c>
      <c r="C307" s="274"/>
      <c r="D307" s="274"/>
      <c r="E307" s="274"/>
      <c r="F307" s="274"/>
      <c r="G307" s="275"/>
      <c r="H307" s="276"/>
      <c r="I307" s="293"/>
      <c r="J307" s="294">
        <f>[11]Summary!I307</f>
        <v>13.721687211093991</v>
      </c>
      <c r="K307" s="294">
        <v>8.1932911095472676</v>
      </c>
      <c r="L307" s="294">
        <v>8.2905340389704119</v>
      </c>
      <c r="M307" s="295">
        <v>8.3001516211803121</v>
      </c>
      <c r="N307" s="295">
        <v>8.8161126271396668</v>
      </c>
      <c r="O307" s="293">
        <v>8.5208160442600285</v>
      </c>
      <c r="P307" s="294">
        <v>8.9613727742676623</v>
      </c>
      <c r="Q307" s="294">
        <v>8.8941555768966936</v>
      </c>
      <c r="R307" s="295">
        <v>9.1389013285565017</v>
      </c>
      <c r="S307" s="295">
        <v>9.7724621689785618</v>
      </c>
      <c r="T307" s="293">
        <v>9.1361163992385102</v>
      </c>
      <c r="U307" s="294">
        <v>8.5347740908534337</v>
      </c>
      <c r="V307" s="294">
        <v>9.0445837441893229</v>
      </c>
      <c r="W307" s="295">
        <v>9.6837726879861705</v>
      </c>
      <c r="X307" s="295">
        <v>9.1481032392170452</v>
      </c>
      <c r="Y307" s="6"/>
      <c r="Z307" s="6"/>
      <c r="AA307" s="6"/>
      <c r="AB307" s="6"/>
      <c r="AC307" s="6"/>
      <c r="AD307" s="6"/>
    </row>
    <row r="308" spans="2:30" x14ac:dyDescent="0.25">
      <c r="B308" s="280" t="s">
        <v>24</v>
      </c>
      <c r="C308" s="281"/>
      <c r="D308" s="281"/>
      <c r="E308" s="281"/>
      <c r="F308" s="281"/>
      <c r="G308" s="281"/>
      <c r="H308" s="281"/>
      <c r="I308" s="296"/>
      <c r="J308" s="296">
        <f>[11]Summary!I308</f>
        <v>14.946075161218591</v>
      </c>
      <c r="K308" s="296">
        <v>7.3522832669540072</v>
      </c>
      <c r="L308" s="296">
        <v>7.4358277836195814</v>
      </c>
      <c r="M308" s="296">
        <v>7.6834827220191064</v>
      </c>
      <c r="N308" s="296">
        <v>7.8495618604081132</v>
      </c>
      <c r="O308" s="296">
        <v>7.7903376484719074</v>
      </c>
      <c r="P308" s="296">
        <v>8.050482188545562</v>
      </c>
      <c r="Q308" s="296">
        <v>7.9733471341700088</v>
      </c>
      <c r="R308" s="296">
        <v>8.0474309657920049</v>
      </c>
      <c r="S308" s="296">
        <v>8.6271249076127123</v>
      </c>
      <c r="T308" s="296">
        <v>8.2606062469257253</v>
      </c>
      <c r="U308" s="296">
        <v>7.8576528203917864</v>
      </c>
      <c r="V308" s="296">
        <v>8.2040939597315443</v>
      </c>
      <c r="W308" s="296">
        <v>8.6540543106722367</v>
      </c>
      <c r="X308" s="296">
        <v>8.2492931980708466</v>
      </c>
      <c r="Y308" s="6"/>
      <c r="Z308" s="6"/>
      <c r="AA308" s="6"/>
      <c r="AB308" s="6"/>
      <c r="AC308" s="6"/>
      <c r="AD308" s="6"/>
    </row>
    <row r="309" spans="2:30" ht="16.5" thickBot="1" x14ac:dyDescent="0.3">
      <c r="B309" s="284" t="s">
        <v>7</v>
      </c>
      <c r="C309" s="285">
        <f t="shared" ref="C309:H309" si="21">C308+C304+C300+C296</f>
        <v>1433</v>
      </c>
      <c r="D309" s="285">
        <f t="shared" si="21"/>
        <v>1556</v>
      </c>
      <c r="E309" s="285">
        <f t="shared" si="21"/>
        <v>1335</v>
      </c>
      <c r="F309" s="285">
        <f t="shared" si="21"/>
        <v>248</v>
      </c>
      <c r="G309" s="285">
        <f t="shared" si="21"/>
        <v>1492</v>
      </c>
      <c r="H309" s="285">
        <f t="shared" si="21"/>
        <v>6064</v>
      </c>
      <c r="I309" s="298"/>
      <c r="J309" s="298">
        <f>[11]Summary!I309</f>
        <v>8.0512131157148303</v>
      </c>
      <c r="K309" s="298">
        <v>7.0919875313923697</v>
      </c>
      <c r="L309" s="298">
        <v>7.3181054730172601</v>
      </c>
      <c r="M309" s="298">
        <v>7.5147425864038242</v>
      </c>
      <c r="N309" s="298">
        <v>7.5310418717785375</v>
      </c>
      <c r="O309" s="298">
        <v>7.7055473121271136</v>
      </c>
      <c r="P309" s="298">
        <v>7.8273490111426964</v>
      </c>
      <c r="Q309" s="298">
        <v>7.810751959740637</v>
      </c>
      <c r="R309" s="298">
        <v>7.9799537061028483</v>
      </c>
      <c r="S309" s="298">
        <v>7.9169925164389383</v>
      </c>
      <c r="T309" s="298">
        <v>7.6553469324679337</v>
      </c>
      <c r="U309" s="298">
        <v>7.9591773800060306</v>
      </c>
      <c r="V309" s="298">
        <v>8.1008230784098956</v>
      </c>
      <c r="W309" s="298"/>
      <c r="X309" s="298">
        <v>8.5350101246935957</v>
      </c>
      <c r="Y309" s="6"/>
      <c r="Z309" s="6"/>
      <c r="AA309" s="6"/>
      <c r="AB309" s="6"/>
      <c r="AC309" s="6"/>
      <c r="AD309" s="6"/>
    </row>
    <row r="310" spans="2:30" x14ac:dyDescent="0.25">
      <c r="B310" s="12"/>
      <c r="C310" s="16"/>
      <c r="D310" s="16"/>
      <c r="E310" s="16"/>
      <c r="F310" s="16"/>
      <c r="G310" s="16"/>
      <c r="H310" s="16"/>
      <c r="I310" s="12"/>
      <c r="J310" s="12"/>
      <c r="K310" s="12"/>
      <c r="L310" s="12"/>
      <c r="M310" s="12"/>
      <c r="N310" s="13"/>
      <c r="O310" s="15"/>
      <c r="P310" s="15"/>
      <c r="Q310" s="15"/>
      <c r="R310" s="15"/>
      <c r="S310" s="13"/>
      <c r="T310" s="10"/>
      <c r="U310" s="10"/>
      <c r="V310" s="10"/>
      <c r="W310" s="10"/>
      <c r="X310" s="10"/>
      <c r="Y310" s="10"/>
      <c r="Z310" s="10"/>
      <c r="AA310" s="10"/>
      <c r="AB310" s="10"/>
    </row>
    <row r="311" spans="2:30" s="299" customFormat="1" ht="12.75" x14ac:dyDescent="0.2">
      <c r="B311" s="349" t="s">
        <v>44</v>
      </c>
      <c r="C311" s="349"/>
      <c r="D311" s="349"/>
      <c r="E311" s="349"/>
      <c r="F311" s="349"/>
      <c r="G311" s="350"/>
      <c r="H311" s="351" t="s">
        <v>38</v>
      </c>
      <c r="I311" s="352"/>
      <c r="J311" s="352"/>
      <c r="K311" s="352"/>
      <c r="L311" s="353"/>
      <c r="M311" s="354" t="s">
        <v>42</v>
      </c>
      <c r="N311" s="354"/>
      <c r="O311" s="354"/>
      <c r="P311" s="354"/>
      <c r="Q311" s="354"/>
      <c r="R311" s="300"/>
      <c r="S311" s="301"/>
      <c r="T311" s="302"/>
      <c r="U311" s="302"/>
      <c r="V311" s="302"/>
      <c r="W311" s="302"/>
      <c r="X311" s="302"/>
      <c r="Y311" s="303"/>
      <c r="Z311" s="302"/>
      <c r="AA311" s="302"/>
      <c r="AB311" s="303"/>
    </row>
    <row r="312" spans="2:30" s="304" customFormat="1" ht="24.75" x14ac:dyDescent="0.25">
      <c r="B312" s="320" t="s">
        <v>25</v>
      </c>
      <c r="C312" s="265" t="s">
        <v>39</v>
      </c>
      <c r="D312" s="265" t="s">
        <v>40</v>
      </c>
      <c r="E312" s="265" t="s">
        <v>41</v>
      </c>
      <c r="F312" s="265" t="s">
        <v>1</v>
      </c>
      <c r="G312" s="321" t="s">
        <v>7</v>
      </c>
      <c r="H312" s="322" t="s">
        <v>39</v>
      </c>
      <c r="I312" s="265" t="s">
        <v>40</v>
      </c>
      <c r="J312" s="265" t="s">
        <v>41</v>
      </c>
      <c r="K312" s="265" t="s">
        <v>1</v>
      </c>
      <c r="L312" s="321" t="s">
        <v>7</v>
      </c>
      <c r="M312" s="265" t="s">
        <v>39</v>
      </c>
      <c r="N312" s="265" t="s">
        <v>40</v>
      </c>
      <c r="O312" s="265" t="s">
        <v>41</v>
      </c>
      <c r="P312" s="265" t="s">
        <v>1</v>
      </c>
      <c r="Q312" s="323" t="s">
        <v>7</v>
      </c>
      <c r="R312" s="305"/>
      <c r="S312" s="305"/>
      <c r="T312" s="306"/>
      <c r="U312" s="306"/>
      <c r="V312" s="306"/>
      <c r="W312" s="9"/>
      <c r="X312" s="9"/>
      <c r="Y312" s="306"/>
      <c r="Z312" s="306"/>
      <c r="AA312" s="9"/>
      <c r="AB312" s="306"/>
    </row>
    <row r="313" spans="2:30" x14ac:dyDescent="0.25">
      <c r="B313" s="268" t="s">
        <v>9</v>
      </c>
      <c r="C313" s="307">
        <f>'Data Entry'!B65</f>
        <v>96</v>
      </c>
      <c r="D313" s="308">
        <f>'Data Entry'!C65</f>
        <v>2084</v>
      </c>
      <c r="E313" s="307">
        <f>'Data Entry'!D65</f>
        <v>988</v>
      </c>
      <c r="F313" s="307">
        <f>'Data Entry'!E65</f>
        <v>1096</v>
      </c>
      <c r="G313" s="309">
        <f>SUM(C313:D313)</f>
        <v>2180</v>
      </c>
      <c r="H313" s="310">
        <f>'Data Entry'!B80</f>
        <v>685</v>
      </c>
      <c r="I313" s="308">
        <f>'Data Entry'!C80</f>
        <v>2119</v>
      </c>
      <c r="J313" s="307">
        <f>'Data Entry'!D80</f>
        <v>2001</v>
      </c>
      <c r="K313" s="307">
        <f>'Data Entry'!E80</f>
        <v>118</v>
      </c>
      <c r="L313" s="309">
        <f>'Data Entry'!F80</f>
        <v>2804</v>
      </c>
      <c r="M313" s="307">
        <f>'Data Entry'!B95</f>
        <v>781</v>
      </c>
      <c r="N313" s="308">
        <f>'Data Entry'!C95</f>
        <v>4203</v>
      </c>
      <c r="O313" s="307">
        <f>'Data Entry'!D95</f>
        <v>2989</v>
      </c>
      <c r="P313" s="307">
        <f>'Data Entry'!E95</f>
        <v>1214</v>
      </c>
      <c r="Q313" s="311">
        <f>'Data Entry'!F95</f>
        <v>4984</v>
      </c>
      <c r="R313" s="3"/>
      <c r="T313" s="6"/>
      <c r="U313" s="6"/>
      <c r="V313" s="6"/>
      <c r="W313" s="6"/>
      <c r="X313" s="6"/>
      <c r="Y313" s="6"/>
      <c r="Z313" s="6"/>
      <c r="AA313" s="6"/>
      <c r="AB313" s="6"/>
    </row>
    <row r="314" spans="2:30" x14ac:dyDescent="0.25">
      <c r="B314" s="268" t="s">
        <v>10</v>
      </c>
      <c r="C314" s="307">
        <f>'Data Entry'!B66</f>
        <v>49</v>
      </c>
      <c r="D314" s="308">
        <f>'Data Entry'!C66</f>
        <v>2240</v>
      </c>
      <c r="E314" s="307">
        <f>'Data Entry'!D66</f>
        <v>1096</v>
      </c>
      <c r="F314" s="307">
        <f>'Data Entry'!E66</f>
        <v>1144</v>
      </c>
      <c r="G314" s="309">
        <f>SUM(C314:D314)</f>
        <v>2289</v>
      </c>
      <c r="H314" s="310">
        <f>'Data Entry'!B81</f>
        <v>824</v>
      </c>
      <c r="I314" s="308">
        <f>'Data Entry'!C81</f>
        <v>2436</v>
      </c>
      <c r="J314" s="307">
        <f>'Data Entry'!D81</f>
        <v>2245</v>
      </c>
      <c r="K314" s="307">
        <f>'Data Entry'!E81</f>
        <v>191</v>
      </c>
      <c r="L314" s="309">
        <f>'Data Entry'!F81</f>
        <v>3260</v>
      </c>
      <c r="M314" s="307">
        <f>'Data Entry'!B96</f>
        <v>873</v>
      </c>
      <c r="N314" s="308">
        <f>'Data Entry'!C96</f>
        <v>4676</v>
      </c>
      <c r="O314" s="307">
        <f>'Data Entry'!D96</f>
        <v>3341</v>
      </c>
      <c r="P314" s="307">
        <f>'Data Entry'!E96</f>
        <v>1335</v>
      </c>
      <c r="Q314" s="311">
        <f>'Data Entry'!F96</f>
        <v>5549</v>
      </c>
      <c r="T314" s="6"/>
      <c r="U314" s="6"/>
      <c r="V314" s="6"/>
      <c r="W314" s="6"/>
      <c r="X314" s="6"/>
      <c r="Y314" s="6"/>
      <c r="Z314" s="6"/>
      <c r="AA314" s="6"/>
      <c r="AB314" s="6"/>
    </row>
    <row r="315" spans="2:30" x14ac:dyDescent="0.25">
      <c r="B315" s="268" t="s">
        <v>11</v>
      </c>
      <c r="C315" s="307"/>
      <c r="D315" s="308"/>
      <c r="E315" s="307"/>
      <c r="F315" s="307"/>
      <c r="G315" s="309"/>
      <c r="H315" s="310"/>
      <c r="I315" s="308"/>
      <c r="J315" s="307"/>
      <c r="K315" s="307"/>
      <c r="L315" s="309"/>
      <c r="M315" s="307"/>
      <c r="N315" s="308"/>
      <c r="O315" s="307"/>
      <c r="P315" s="307"/>
      <c r="Q315" s="311"/>
      <c r="R315" s="3"/>
      <c r="T315" s="6"/>
      <c r="U315" s="6"/>
      <c r="V315" s="6"/>
      <c r="W315" s="6"/>
      <c r="X315" s="6"/>
      <c r="Y315" s="6"/>
      <c r="Z315" s="6"/>
      <c r="AA315" s="6"/>
      <c r="AB315" s="6"/>
    </row>
    <row r="316" spans="2:30" x14ac:dyDescent="0.25">
      <c r="B316" s="280" t="s">
        <v>12</v>
      </c>
      <c r="C316" s="312">
        <f t="shared" ref="C316:Q316" si="22">SUM(C313:C315)</f>
        <v>145</v>
      </c>
      <c r="D316" s="312">
        <f t="shared" si="22"/>
        <v>4324</v>
      </c>
      <c r="E316" s="312">
        <f t="shared" si="22"/>
        <v>2084</v>
      </c>
      <c r="F316" s="312">
        <f t="shared" si="22"/>
        <v>2240</v>
      </c>
      <c r="G316" s="313">
        <f>SUM(G313:G315)</f>
        <v>4469</v>
      </c>
      <c r="H316" s="312">
        <f t="shared" si="22"/>
        <v>1509</v>
      </c>
      <c r="I316" s="312">
        <f t="shared" si="22"/>
        <v>4555</v>
      </c>
      <c r="J316" s="312">
        <f t="shared" si="22"/>
        <v>4246</v>
      </c>
      <c r="K316" s="312">
        <f t="shared" si="22"/>
        <v>309</v>
      </c>
      <c r="L316" s="313">
        <f>SUM(L313:L315)</f>
        <v>6064</v>
      </c>
      <c r="M316" s="312">
        <f t="shared" si="22"/>
        <v>1654</v>
      </c>
      <c r="N316" s="312">
        <f t="shared" si="22"/>
        <v>8879</v>
      </c>
      <c r="O316" s="312">
        <f t="shared" si="22"/>
        <v>6330</v>
      </c>
      <c r="P316" s="312">
        <f t="shared" si="22"/>
        <v>2549</v>
      </c>
      <c r="Q316" s="312">
        <f t="shared" si="22"/>
        <v>10533</v>
      </c>
      <c r="T316" s="6"/>
      <c r="U316" s="6"/>
      <c r="V316" s="6"/>
      <c r="W316" s="6"/>
      <c r="X316" s="6"/>
      <c r="Y316" s="6"/>
      <c r="Z316" s="6"/>
      <c r="AA316" s="6"/>
      <c r="AB316" s="6"/>
    </row>
    <row r="317" spans="2:30" x14ac:dyDescent="0.25">
      <c r="B317" s="268" t="s">
        <v>13</v>
      </c>
      <c r="C317" s="307"/>
      <c r="D317" s="308"/>
      <c r="E317" s="307"/>
      <c r="F317" s="307"/>
      <c r="G317" s="309"/>
      <c r="H317" s="310"/>
      <c r="I317" s="308"/>
      <c r="J317" s="307"/>
      <c r="K317" s="307"/>
      <c r="L317" s="309"/>
      <c r="M317" s="307"/>
      <c r="N317" s="308"/>
      <c r="O317" s="307"/>
      <c r="P317" s="307"/>
      <c r="Q317" s="311"/>
      <c r="T317" s="6"/>
      <c r="U317" s="6"/>
      <c r="V317" s="6"/>
      <c r="W317" s="6"/>
      <c r="X317" s="6"/>
      <c r="Y317" s="6"/>
      <c r="Z317" s="6"/>
      <c r="AA317" s="6"/>
      <c r="AB317" s="6"/>
    </row>
    <row r="318" spans="2:30" x14ac:dyDescent="0.25">
      <c r="B318" s="268" t="s">
        <v>14</v>
      </c>
      <c r="C318" s="307"/>
      <c r="D318" s="308"/>
      <c r="E318" s="307"/>
      <c r="F318" s="307"/>
      <c r="G318" s="309"/>
      <c r="H318" s="310"/>
      <c r="I318" s="308"/>
      <c r="J318" s="307"/>
      <c r="K318" s="307"/>
      <c r="L318" s="309"/>
      <c r="M318" s="307"/>
      <c r="N318" s="308"/>
      <c r="O318" s="307"/>
      <c r="P318" s="307"/>
      <c r="Q318" s="311"/>
      <c r="T318" s="6"/>
      <c r="U318" s="6"/>
      <c r="V318" s="6"/>
      <c r="W318" s="6"/>
      <c r="X318" s="6"/>
      <c r="Y318" s="6"/>
      <c r="Z318" s="6"/>
      <c r="AA318" s="6"/>
      <c r="AB318" s="6"/>
    </row>
    <row r="319" spans="2:30" x14ac:dyDescent="0.25">
      <c r="B319" s="268" t="s">
        <v>15</v>
      </c>
      <c r="C319" s="307"/>
      <c r="D319" s="308"/>
      <c r="E319" s="307"/>
      <c r="F319" s="307"/>
      <c r="G319" s="309"/>
      <c r="H319" s="310"/>
      <c r="I319" s="308"/>
      <c r="J319" s="307"/>
      <c r="K319" s="307"/>
      <c r="L319" s="309"/>
      <c r="M319" s="307"/>
      <c r="N319" s="308"/>
      <c r="O319" s="307"/>
      <c r="P319" s="307"/>
      <c r="Q319" s="311"/>
      <c r="T319" s="6"/>
      <c r="U319" s="6"/>
      <c r="V319" s="6"/>
      <c r="W319" s="6"/>
      <c r="X319" s="6"/>
      <c r="Y319" s="6"/>
      <c r="Z319" s="6"/>
      <c r="AA319" s="6"/>
      <c r="AB319" s="6"/>
    </row>
    <row r="320" spans="2:30" x14ac:dyDescent="0.25">
      <c r="B320" s="280" t="s">
        <v>16</v>
      </c>
      <c r="C320" s="312"/>
      <c r="D320" s="312"/>
      <c r="E320" s="312"/>
      <c r="F320" s="312"/>
      <c r="G320" s="313"/>
      <c r="H320" s="314"/>
      <c r="I320" s="312"/>
      <c r="J320" s="312"/>
      <c r="K320" s="312"/>
      <c r="L320" s="313"/>
      <c r="M320" s="312"/>
      <c r="N320" s="312"/>
      <c r="O320" s="312"/>
      <c r="P320" s="312"/>
      <c r="Q320" s="312"/>
      <c r="T320" s="6"/>
      <c r="U320" s="6"/>
      <c r="V320" s="6"/>
      <c r="W320" s="6"/>
      <c r="X320" s="6"/>
      <c r="Y320" s="6"/>
      <c r="Z320" s="6"/>
      <c r="AA320" s="6"/>
      <c r="AB320" s="6"/>
    </row>
    <row r="321" spans="2:28" x14ac:dyDescent="0.25">
      <c r="B321" s="268" t="s">
        <v>17</v>
      </c>
      <c r="C321" s="307"/>
      <c r="D321" s="308"/>
      <c r="E321" s="307"/>
      <c r="F321" s="307"/>
      <c r="G321" s="309"/>
      <c r="H321" s="310"/>
      <c r="I321" s="308"/>
      <c r="J321" s="307"/>
      <c r="K321" s="307"/>
      <c r="L321" s="309"/>
      <c r="M321" s="307"/>
      <c r="N321" s="308"/>
      <c r="O321" s="307"/>
      <c r="P321" s="307"/>
      <c r="Q321" s="311"/>
      <c r="T321" s="6"/>
      <c r="U321" s="6"/>
      <c r="V321" s="6"/>
      <c r="W321" s="6"/>
      <c r="X321" s="6"/>
      <c r="Y321" s="6"/>
      <c r="Z321" s="6"/>
      <c r="AA321" s="6"/>
      <c r="AB321" s="6"/>
    </row>
    <row r="322" spans="2:28" x14ac:dyDescent="0.25">
      <c r="B322" s="268" t="s">
        <v>18</v>
      </c>
      <c r="C322" s="307"/>
      <c r="D322" s="308"/>
      <c r="E322" s="307"/>
      <c r="F322" s="307"/>
      <c r="G322" s="309"/>
      <c r="H322" s="310"/>
      <c r="I322" s="308"/>
      <c r="J322" s="307"/>
      <c r="K322" s="307"/>
      <c r="L322" s="309"/>
      <c r="M322" s="307"/>
      <c r="N322" s="308"/>
      <c r="O322" s="307"/>
      <c r="P322" s="307"/>
      <c r="Q322" s="311"/>
      <c r="T322" s="6"/>
      <c r="U322" s="6"/>
      <c r="V322" s="6"/>
      <c r="W322" s="6"/>
      <c r="X322" s="6"/>
      <c r="Y322" s="6"/>
      <c r="Z322" s="6"/>
      <c r="AA322" s="6"/>
      <c r="AB322" s="6"/>
    </row>
    <row r="323" spans="2:28" x14ac:dyDescent="0.25">
      <c r="B323" s="268" t="s">
        <v>19</v>
      </c>
      <c r="C323" s="307"/>
      <c r="D323" s="308"/>
      <c r="E323" s="307"/>
      <c r="F323" s="307"/>
      <c r="G323" s="309"/>
      <c r="H323" s="310"/>
      <c r="I323" s="308"/>
      <c r="J323" s="307"/>
      <c r="K323" s="307"/>
      <c r="L323" s="309"/>
      <c r="M323" s="307"/>
      <c r="N323" s="308"/>
      <c r="O323" s="307"/>
      <c r="P323" s="307"/>
      <c r="Q323" s="311"/>
      <c r="T323" s="6"/>
      <c r="U323" s="6"/>
      <c r="V323" s="6"/>
      <c r="W323" s="6"/>
      <c r="X323" s="6"/>
      <c r="Y323" s="6"/>
      <c r="Z323" s="6"/>
      <c r="AA323" s="6"/>
      <c r="AB323" s="6"/>
    </row>
    <row r="324" spans="2:28" x14ac:dyDescent="0.25">
      <c r="B324" s="280" t="s">
        <v>20</v>
      </c>
      <c r="C324" s="312"/>
      <c r="D324" s="312"/>
      <c r="E324" s="312"/>
      <c r="F324" s="312"/>
      <c r="G324" s="313"/>
      <c r="H324" s="314"/>
      <c r="I324" s="312"/>
      <c r="J324" s="312"/>
      <c r="K324" s="312"/>
      <c r="L324" s="313"/>
      <c r="M324" s="312"/>
      <c r="N324" s="312"/>
      <c r="O324" s="312"/>
      <c r="P324" s="312"/>
      <c r="Q324" s="312"/>
      <c r="T324" s="6"/>
      <c r="U324" s="6"/>
      <c r="V324" s="6"/>
      <c r="W324" s="6"/>
      <c r="X324" s="6"/>
      <c r="Y324" s="6"/>
      <c r="Z324" s="6"/>
      <c r="AA324" s="6"/>
      <c r="AB324" s="6"/>
    </row>
    <row r="325" spans="2:28" x14ac:dyDescent="0.25">
      <c r="B325" s="268" t="s">
        <v>21</v>
      </c>
      <c r="C325" s="307"/>
      <c r="D325" s="308"/>
      <c r="E325" s="307"/>
      <c r="F325" s="307"/>
      <c r="G325" s="309"/>
      <c r="H325" s="310"/>
      <c r="I325" s="308"/>
      <c r="J325" s="307"/>
      <c r="K325" s="307"/>
      <c r="L325" s="309"/>
      <c r="M325" s="307"/>
      <c r="N325" s="308"/>
      <c r="O325" s="307"/>
      <c r="P325" s="307"/>
      <c r="Q325" s="311"/>
      <c r="T325" s="6"/>
      <c r="U325" s="6"/>
      <c r="V325" s="6"/>
      <c r="W325" s="6"/>
      <c r="X325" s="6"/>
      <c r="Y325" s="6"/>
      <c r="Z325" s="6"/>
      <c r="AA325" s="6"/>
      <c r="AB325" s="6"/>
    </row>
    <row r="326" spans="2:28" x14ac:dyDescent="0.25">
      <c r="B326" s="268" t="s">
        <v>22</v>
      </c>
      <c r="C326" s="307"/>
      <c r="D326" s="308"/>
      <c r="E326" s="307"/>
      <c r="F326" s="307"/>
      <c r="G326" s="309"/>
      <c r="H326" s="310"/>
      <c r="I326" s="308"/>
      <c r="J326" s="307"/>
      <c r="K326" s="307"/>
      <c r="L326" s="309"/>
      <c r="M326" s="307"/>
      <c r="N326" s="308"/>
      <c r="O326" s="307"/>
      <c r="P326" s="307"/>
      <c r="Q326" s="311"/>
    </row>
    <row r="327" spans="2:28" x14ac:dyDescent="0.25">
      <c r="B327" s="268" t="s">
        <v>23</v>
      </c>
      <c r="C327" s="307"/>
      <c r="D327" s="308"/>
      <c r="E327" s="307"/>
      <c r="F327" s="307"/>
      <c r="G327" s="309"/>
      <c r="H327" s="310"/>
      <c r="I327" s="308"/>
      <c r="J327" s="307"/>
      <c r="K327" s="307"/>
      <c r="L327" s="309"/>
      <c r="M327" s="307"/>
      <c r="N327" s="308"/>
      <c r="O327" s="307"/>
      <c r="P327" s="307"/>
      <c r="Q327" s="311"/>
    </row>
    <row r="328" spans="2:28" x14ac:dyDescent="0.25">
      <c r="B328" s="280" t="s">
        <v>24</v>
      </c>
      <c r="C328" s="312"/>
      <c r="D328" s="312"/>
      <c r="E328" s="312"/>
      <c r="F328" s="312"/>
      <c r="G328" s="313"/>
      <c r="H328" s="314"/>
      <c r="I328" s="312"/>
      <c r="J328" s="312"/>
      <c r="K328" s="312"/>
      <c r="L328" s="313"/>
      <c r="M328" s="312"/>
      <c r="N328" s="312"/>
      <c r="O328" s="312"/>
      <c r="P328" s="312"/>
      <c r="Q328" s="312"/>
    </row>
    <row r="329" spans="2:28" ht="16.5" thickBot="1" x14ac:dyDescent="0.3">
      <c r="B329" s="315" t="s">
        <v>0</v>
      </c>
      <c r="C329" s="316">
        <f>+C328+C324+C320+C316</f>
        <v>145</v>
      </c>
      <c r="D329" s="316">
        <f>+D328+D324+D320+D316</f>
        <v>4324</v>
      </c>
      <c r="E329" s="316">
        <f>+E328+E324+E320+E316</f>
        <v>2084</v>
      </c>
      <c r="F329" s="316">
        <f>+F328+F324+F320+F316</f>
        <v>2240</v>
      </c>
      <c r="G329" s="317">
        <f>G328+G324+G320+G316</f>
        <v>4469</v>
      </c>
      <c r="H329" s="318">
        <f>+H328+H324+H320+H316</f>
        <v>1509</v>
      </c>
      <c r="I329" s="316">
        <f>+I328+I324+I320+I316</f>
        <v>4555</v>
      </c>
      <c r="J329" s="316">
        <f>+J328+J324+J320+J316</f>
        <v>4246</v>
      </c>
      <c r="K329" s="316">
        <f>+K328+K324+K320+K316</f>
        <v>309</v>
      </c>
      <c r="L329" s="317">
        <f>L328+L324+L320+L316</f>
        <v>6064</v>
      </c>
      <c r="M329" s="316">
        <f>+M328+M324+M320+M316</f>
        <v>1654</v>
      </c>
      <c r="N329" s="316">
        <f>+N328+N324+N320+N316</f>
        <v>8879</v>
      </c>
      <c r="O329" s="316">
        <f>+O328+O324+O320+O316</f>
        <v>6330</v>
      </c>
      <c r="P329" s="316">
        <f>+P328+P324+P320+P316</f>
        <v>2549</v>
      </c>
      <c r="Q329" s="319">
        <f>Q328+Q324+Q320+Q316</f>
        <v>10533</v>
      </c>
    </row>
    <row r="330" spans="2:28" x14ac:dyDescent="0.25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4"/>
    </row>
    <row r="331" spans="2:28" x14ac:dyDescent="0.25">
      <c r="B331" s="3"/>
      <c r="C331" s="3"/>
      <c r="D331" s="3"/>
      <c r="E331" s="3"/>
      <c r="F331" s="3"/>
      <c r="G331" s="3"/>
      <c r="H331" s="3"/>
      <c r="I331" s="3"/>
      <c r="J331" s="6"/>
      <c r="K331" s="6"/>
      <c r="L331" s="7"/>
      <c r="M331" s="14"/>
      <c r="N331" s="14"/>
      <c r="O331" s="14"/>
      <c r="P331" s="14"/>
      <c r="Q331" s="14"/>
    </row>
    <row r="332" spans="2:28" x14ac:dyDescent="0.25">
      <c r="B332" s="3"/>
      <c r="C332" s="3"/>
      <c r="D332" s="3"/>
      <c r="E332" s="3"/>
      <c r="F332" s="3"/>
      <c r="G332" s="3"/>
      <c r="H332" s="3"/>
      <c r="I332" s="3"/>
      <c r="J332" s="6"/>
      <c r="K332" s="3"/>
      <c r="L332" s="8"/>
    </row>
    <row r="333" spans="2:28" x14ac:dyDescent="0.25">
      <c r="B333" s="3"/>
      <c r="C333" s="3"/>
      <c r="D333" s="3"/>
      <c r="E333" s="3"/>
      <c r="F333" s="3"/>
      <c r="G333" s="3"/>
      <c r="H333" s="3"/>
      <c r="I333" s="3"/>
    </row>
    <row r="334" spans="2:28" x14ac:dyDescent="0.25">
      <c r="B334" s="3"/>
      <c r="C334" s="3"/>
      <c r="D334" s="3"/>
      <c r="E334" s="3"/>
      <c r="F334" s="3"/>
      <c r="G334" s="3"/>
      <c r="H334" s="3"/>
      <c r="I334" s="3"/>
    </row>
    <row r="335" spans="2:28" x14ac:dyDescent="0.25">
      <c r="B335" s="3"/>
      <c r="C335" s="3"/>
      <c r="D335" s="3"/>
      <c r="E335" s="3"/>
      <c r="F335" s="3"/>
      <c r="G335" s="3"/>
      <c r="H335" s="3"/>
      <c r="I335" s="3"/>
    </row>
    <row r="336" spans="2:28" x14ac:dyDescent="0.25">
      <c r="B336" s="3"/>
      <c r="C336" s="3"/>
      <c r="D336" s="3"/>
      <c r="E336" s="3"/>
      <c r="F336" s="3"/>
      <c r="G336" s="3"/>
      <c r="H336" s="3"/>
      <c r="I336" s="3"/>
    </row>
  </sheetData>
  <mergeCells count="4">
    <mergeCell ref="B11:AB11"/>
    <mergeCell ref="B311:G311"/>
    <mergeCell ref="H311:L311"/>
    <mergeCell ref="M311:Q311"/>
  </mergeCells>
  <phoneticPr fontId="0" type="noConversion"/>
  <pageMargins left="0.47" right="0.17" top="0.19" bottom="0.19" header="0.17" footer="0.17"/>
  <pageSetup paperSize="5" scale="73" orientation="portrait" r:id="rId1"/>
  <headerFooter alignWithMargins="0"/>
  <rowBreaks count="210" manualBreakCount="210">
    <brk id="50" max="16383" man="1"/>
    <brk id="90" max="16383" man="1"/>
    <brk id="292" max="16383" man="1"/>
    <brk id="360" max="16383" man="1"/>
    <brk id="394" max="16383" man="1"/>
    <brk id="427" max="16383" man="1"/>
    <brk id="461" max="16383" man="1"/>
    <brk id="495" max="16383" man="1"/>
    <brk id="529" max="16383" man="1"/>
    <brk id="563" max="16383" man="1"/>
    <brk id="597" max="16383" man="1"/>
    <brk id="631" max="16383" man="1"/>
    <brk id="665" max="16383" man="1"/>
    <brk id="699" max="16383" man="1"/>
    <brk id="733" max="16383" man="1"/>
    <brk id="767" max="16383" man="1"/>
    <brk id="801" max="16383" man="1"/>
    <brk id="835" max="16383" man="1"/>
    <brk id="869" max="16383" man="1"/>
    <brk id="903" max="16383" man="1"/>
    <brk id="937" max="16383" man="1"/>
    <brk id="971" max="16383" man="1"/>
    <brk id="1005" max="16383" man="1"/>
    <brk id="1039" max="16383" man="1"/>
    <brk id="1073" max="16383" man="1"/>
    <brk id="1107" max="16383" man="1"/>
    <brk id="1141" max="16383" man="1"/>
    <brk id="1175" max="16383" man="1"/>
    <brk id="1209" max="16383" man="1"/>
    <brk id="1243" max="16383" man="1"/>
    <brk id="1277" max="16383" man="1"/>
    <brk id="1311" max="16383" man="1"/>
    <brk id="1345" max="16383" man="1"/>
    <brk id="1379" max="16383" man="1"/>
    <brk id="1413" max="16383" man="1"/>
    <brk id="1447" max="16383" man="1"/>
    <brk id="1481" max="16383" man="1"/>
    <brk id="1515" max="16383" man="1"/>
    <brk id="1549" max="16383" man="1"/>
    <brk id="1583" max="16383" man="1"/>
    <brk id="1617" max="16383" man="1"/>
    <brk id="1651" max="16383" man="1"/>
    <brk id="1685" max="16383" man="1"/>
    <brk id="1719" max="16383" man="1"/>
    <brk id="1753" max="16383" man="1"/>
    <brk id="1787" max="16383" man="1"/>
    <brk id="1821" max="16383" man="1"/>
    <brk id="1855" max="16383" man="1"/>
    <brk id="1889" max="16383" man="1"/>
    <brk id="1923" max="16383" man="1"/>
    <brk id="1957" max="16383" man="1"/>
    <brk id="1991" max="16383" man="1"/>
    <brk id="2025" max="16383" man="1"/>
    <brk id="2059" max="16383" man="1"/>
    <brk id="2093" max="16383" man="1"/>
    <brk id="2127" max="16383" man="1"/>
    <brk id="2161" max="16383" man="1"/>
    <brk id="2195" max="16383" man="1"/>
    <brk id="2229" max="16383" man="1"/>
    <brk id="2263" max="16383" man="1"/>
    <brk id="2297" max="16383" man="1"/>
    <brk id="2331" max="16383" man="1"/>
    <brk id="2365" max="16383" man="1"/>
    <brk id="2399" max="16383" man="1"/>
    <brk id="2433" max="16383" man="1"/>
    <brk id="2467" max="16383" man="1"/>
    <brk id="2501" max="16383" man="1"/>
    <brk id="2535" max="16383" man="1"/>
    <brk id="2569" max="16383" man="1"/>
    <brk id="2603" max="16383" man="1"/>
    <brk id="2637" max="16383" man="1"/>
    <brk id="2671" max="16383" man="1"/>
    <brk id="2705" max="16383" man="1"/>
    <brk id="2739" max="16383" man="1"/>
    <brk id="2773" max="16383" man="1"/>
    <brk id="2807" max="16383" man="1"/>
    <brk id="2841" max="16383" man="1"/>
    <brk id="2875" max="16383" man="1"/>
    <brk id="2909" max="16383" man="1"/>
    <brk id="2943" max="16383" man="1"/>
    <brk id="2977" max="16383" man="1"/>
    <brk id="3011" max="16383" man="1"/>
    <brk id="3045" max="16383" man="1"/>
    <brk id="3079" max="16383" man="1"/>
    <brk id="3113" max="16383" man="1"/>
    <brk id="3147" max="16383" man="1"/>
    <brk id="3181" max="16383" man="1"/>
    <brk id="3215" max="16383" man="1"/>
    <brk id="3249" max="16383" man="1"/>
    <brk id="3283" max="16383" man="1"/>
    <brk id="3317" max="16383" man="1"/>
    <brk id="3351" max="16383" man="1"/>
    <brk id="3385" max="16383" man="1"/>
    <brk id="3419" max="16383" man="1"/>
    <brk id="3453" max="16383" man="1"/>
    <brk id="3487" max="16383" man="1"/>
    <brk id="3521" max="16383" man="1"/>
    <brk id="3555" max="16383" man="1"/>
    <brk id="3589" max="16383" man="1"/>
    <brk id="3623" max="16383" man="1"/>
    <brk id="3657" max="16383" man="1"/>
    <brk id="3691" max="16383" man="1"/>
    <brk id="3725" max="16383" man="1"/>
    <brk id="3759" max="16383" man="1"/>
    <brk id="3793" max="16383" man="1"/>
    <brk id="3827" max="16383" man="1"/>
    <brk id="3861" max="16383" man="1"/>
    <brk id="3895" max="16383" man="1"/>
    <brk id="3929" max="16383" man="1"/>
    <brk id="3963" max="16383" man="1"/>
    <brk id="3997" max="16383" man="1"/>
    <brk id="4031" max="16383" man="1"/>
    <brk id="4065" max="16383" man="1"/>
    <brk id="4099" max="16383" man="1"/>
    <brk id="4133" max="16383" man="1"/>
    <brk id="4167" max="16383" man="1"/>
    <brk id="4201" max="16383" man="1"/>
    <brk id="4235" max="16383" man="1"/>
    <brk id="4269" max="16383" man="1"/>
    <brk id="4303" max="16383" man="1"/>
    <brk id="4337" max="16383" man="1"/>
    <brk id="4371" max="16383" man="1"/>
    <brk id="4405" max="16383" man="1"/>
    <brk id="4439" max="16383" man="1"/>
    <brk id="4473" max="16383" man="1"/>
    <brk id="4507" max="16383" man="1"/>
    <brk id="4541" max="16383" man="1"/>
    <brk id="4575" max="16383" man="1"/>
    <brk id="4609" max="16383" man="1"/>
    <brk id="4643" max="16383" man="1"/>
    <brk id="4677" max="16383" man="1"/>
    <brk id="4711" max="16383" man="1"/>
    <brk id="4745" max="16383" man="1"/>
    <brk id="4779" max="16383" man="1"/>
    <brk id="4813" max="16383" man="1"/>
    <brk id="4847" max="16383" man="1"/>
    <brk id="4881" max="16383" man="1"/>
    <brk id="4915" max="16383" man="1"/>
    <brk id="4949" max="16383" man="1"/>
    <brk id="4983" max="16383" man="1"/>
    <brk id="5017" max="16383" man="1"/>
    <brk id="5051" max="16383" man="1"/>
    <brk id="5085" max="16383" man="1"/>
    <brk id="5119" max="16383" man="1"/>
    <brk id="5153" max="16383" man="1"/>
    <brk id="5187" max="16383" man="1"/>
    <brk id="5221" max="16383" man="1"/>
    <brk id="5255" max="16383" man="1"/>
    <brk id="5289" max="16383" man="1"/>
    <brk id="5323" max="16383" man="1"/>
    <brk id="5357" max="16383" man="1"/>
    <brk id="5391" max="16383" man="1"/>
    <brk id="5425" max="16383" man="1"/>
    <brk id="5459" max="16383" man="1"/>
    <brk id="5493" max="16383" man="1"/>
    <brk id="5527" max="16383" man="1"/>
    <brk id="5561" max="16383" man="1"/>
    <brk id="5595" max="16383" man="1"/>
    <brk id="5629" max="16383" man="1"/>
    <brk id="5663" max="16383" man="1"/>
    <brk id="5697" max="16383" man="1"/>
    <brk id="5731" max="16383" man="1"/>
    <brk id="5765" max="16383" man="1"/>
    <brk id="5799" max="16383" man="1"/>
    <brk id="5833" max="16383" man="1"/>
    <brk id="5867" max="16383" man="1"/>
    <brk id="5901" max="16383" man="1"/>
    <brk id="5935" max="16383" man="1"/>
    <brk id="5969" max="16383" man="1"/>
    <brk id="6003" max="16383" man="1"/>
    <brk id="6037" max="16383" man="1"/>
    <brk id="6071" max="16383" man="1"/>
    <brk id="6105" max="16383" man="1"/>
    <brk id="6139" max="16383" man="1"/>
    <brk id="6173" max="16383" man="1"/>
    <brk id="6207" max="16383" man="1"/>
    <brk id="6241" max="16383" man="1"/>
    <brk id="6275" max="16383" man="1"/>
    <brk id="6309" max="16383" man="1"/>
    <brk id="6343" max="16383" man="1"/>
    <brk id="6377" max="16383" man="1"/>
    <brk id="6411" max="16383" man="1"/>
    <brk id="6445" max="16383" man="1"/>
    <brk id="6479" max="16383" man="1"/>
    <brk id="6513" max="16383" man="1"/>
    <brk id="6547" max="16383" man="1"/>
    <brk id="6581" max="16383" man="1"/>
    <brk id="6615" max="16383" man="1"/>
    <brk id="6649" max="16383" man="1"/>
    <brk id="6683" max="16383" man="1"/>
    <brk id="6717" max="16383" man="1"/>
    <brk id="6751" max="16383" man="1"/>
    <brk id="6785" max="16383" man="1"/>
    <brk id="6819" max="16383" man="1"/>
    <brk id="6853" max="16383" man="1"/>
    <brk id="6887" max="16383" man="1"/>
    <brk id="6921" max="16383" man="1"/>
    <brk id="6955" max="16383" man="1"/>
    <brk id="6989" max="16383" man="1"/>
    <brk id="7023" max="16383" man="1"/>
    <brk id="7057" max="16383" man="1"/>
    <brk id="7091" max="16383" man="1"/>
    <brk id="7125" max="16383" man="1"/>
    <brk id="7159" max="16383" man="1"/>
    <brk id="7193" max="16383" man="1"/>
    <brk id="7227" max="16383" man="1"/>
    <brk id="7261" max="16383" man="1"/>
    <brk id="7295" max="16383" man="1"/>
    <brk id="7329" max="16383" man="1"/>
    <brk id="7363" max="16383" man="1"/>
  </rowBreaks>
  <colBreaks count="33" manualBreakCount="33">
    <brk id="21" max="1048575" man="1"/>
    <brk id="31" max="1048575" man="1"/>
    <brk id="39" max="1048575" man="1"/>
    <brk id="46" max="1048575" man="1"/>
    <brk id="53" max="1048575" man="1"/>
    <brk id="60" max="1048575" man="1"/>
    <brk id="67" max="1048575" man="1"/>
    <brk id="74" max="1048575" man="1"/>
    <brk id="81" max="1048575" man="1"/>
    <brk id="88" max="1048575" man="1"/>
    <brk id="95" max="1048575" man="1"/>
    <brk id="102" max="1048575" man="1"/>
    <brk id="109" max="1048575" man="1"/>
    <brk id="116" max="1048575" man="1"/>
    <brk id="123" max="1048575" man="1"/>
    <brk id="130" max="1048575" man="1"/>
    <brk id="137" max="1048575" man="1"/>
    <brk id="144" max="1048575" man="1"/>
    <brk id="151" max="1048575" man="1"/>
    <brk id="158" max="1048575" man="1"/>
    <brk id="165" max="1048575" man="1"/>
    <brk id="172" max="1048575" man="1"/>
    <brk id="179" max="1048575" man="1"/>
    <brk id="186" max="1048575" man="1"/>
    <brk id="193" max="1048575" man="1"/>
    <brk id="200" max="1048575" man="1"/>
    <brk id="207" max="1048575" man="1"/>
    <brk id="214" max="1048575" man="1"/>
    <brk id="221" max="1048575" man="1"/>
    <brk id="228" max="1048575" man="1"/>
    <brk id="235" max="1048575" man="1"/>
    <brk id="242" max="1048575" man="1"/>
    <brk id="24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86"/>
  <sheetViews>
    <sheetView topLeftCell="A153" zoomScale="80" zoomScaleNormal="80" workbookViewId="0">
      <selection activeCell="C168" sqref="C168"/>
    </sheetView>
  </sheetViews>
  <sheetFormatPr defaultRowHeight="15" x14ac:dyDescent="0.25"/>
  <cols>
    <col min="1" max="1" width="11.77734375" style="223" customWidth="1"/>
    <col min="2" max="2" width="8.88671875" style="223"/>
    <col min="3" max="3" width="8.6640625" style="223" customWidth="1"/>
    <col min="4" max="4" width="12.33203125" style="223" customWidth="1"/>
    <col min="5" max="5" width="10" style="223" customWidth="1"/>
    <col min="6" max="6" width="8.6640625" style="223" customWidth="1"/>
    <col min="7" max="7" width="9.33203125" style="223" customWidth="1"/>
    <col min="8" max="8" width="8.88671875" style="223"/>
    <col min="9" max="9" width="11.5546875" style="223" customWidth="1"/>
    <col min="10" max="10" width="10.109375" style="223" customWidth="1"/>
    <col min="11" max="11" width="8.21875" style="223" customWidth="1"/>
    <col min="12" max="13" width="8.88671875" style="223"/>
    <col min="14" max="15" width="9.88671875" style="223" customWidth="1"/>
    <col min="16" max="16" width="8.33203125" style="223" customWidth="1"/>
    <col min="17" max="18" width="8.88671875" style="223"/>
    <col min="19" max="19" width="10.5546875" style="223" customWidth="1"/>
    <col min="20" max="20" width="10.33203125" style="223" customWidth="1"/>
    <col min="21" max="16384" width="8.88671875" style="223"/>
  </cols>
  <sheetData>
    <row r="2" spans="2:20" ht="31.5" customHeight="1" x14ac:dyDescent="0.3">
      <c r="B2" s="356" t="s">
        <v>149</v>
      </c>
      <c r="C2" s="356"/>
      <c r="D2" s="356"/>
      <c r="E2" s="356"/>
      <c r="F2" s="356"/>
      <c r="G2" s="356"/>
      <c r="H2" s="356"/>
      <c r="I2" s="356"/>
      <c r="J2" s="356"/>
      <c r="K2" s="222"/>
      <c r="L2" s="222"/>
      <c r="M2" s="222"/>
      <c r="N2" s="222"/>
      <c r="O2" s="222"/>
      <c r="P2" s="222"/>
      <c r="Q2" s="222"/>
      <c r="R2" s="222"/>
      <c r="S2" s="222"/>
      <c r="T2" s="222"/>
    </row>
    <row r="5" spans="2:20" ht="25.5" customHeight="1" x14ac:dyDescent="0.25">
      <c r="B5" s="355" t="s">
        <v>150</v>
      </c>
      <c r="C5" s="355"/>
      <c r="D5" s="355"/>
      <c r="E5" s="355"/>
      <c r="G5" s="355" t="s">
        <v>151</v>
      </c>
      <c r="H5" s="355"/>
      <c r="I5" s="355"/>
      <c r="J5" s="355"/>
    </row>
    <row r="6" spans="2:20" ht="15.75" thickBot="1" x14ac:dyDescent="0.3"/>
    <row r="7" spans="2:20" ht="35.25" customHeight="1" thickBot="1" x14ac:dyDescent="0.3">
      <c r="B7" s="224"/>
      <c r="C7" s="225" t="s">
        <v>145</v>
      </c>
      <c r="D7" s="226" t="s">
        <v>146</v>
      </c>
      <c r="E7" s="226" t="s">
        <v>152</v>
      </c>
      <c r="F7" s="227"/>
      <c r="G7" s="225" t="s">
        <v>25</v>
      </c>
      <c r="H7" s="225" t="s">
        <v>153</v>
      </c>
      <c r="I7" s="226" t="s">
        <v>154</v>
      </c>
      <c r="J7" s="226" t="s">
        <v>155</v>
      </c>
    </row>
    <row r="8" spans="2:20" x14ac:dyDescent="0.25">
      <c r="B8" s="228" t="s">
        <v>156</v>
      </c>
      <c r="C8" s="229">
        <v>4</v>
      </c>
      <c r="D8" s="229">
        <v>453</v>
      </c>
      <c r="E8" s="229">
        <f>D8/C8</f>
        <v>113.25</v>
      </c>
      <c r="G8" s="230" t="s">
        <v>156</v>
      </c>
      <c r="H8" s="229">
        <v>11</v>
      </c>
      <c r="I8" s="229">
        <f>165+486+225+278+29</f>
        <v>1183</v>
      </c>
      <c r="J8" s="229">
        <f t="shared" ref="J8:J22" si="0">I8/H8</f>
        <v>107.54545454545455</v>
      </c>
    </row>
    <row r="9" spans="2:20" x14ac:dyDescent="0.25">
      <c r="B9" s="228" t="s">
        <v>157</v>
      </c>
      <c r="C9" s="229">
        <v>3</v>
      </c>
      <c r="D9" s="229">
        <v>269</v>
      </c>
      <c r="E9" s="229">
        <f t="shared" ref="E9:E25" si="1">D9/C9</f>
        <v>89.666666666666671</v>
      </c>
      <c r="G9" s="230" t="s">
        <v>157</v>
      </c>
      <c r="H9" s="229">
        <v>7</v>
      </c>
      <c r="I9" s="229">
        <v>1461</v>
      </c>
      <c r="J9" s="229">
        <f t="shared" si="0"/>
        <v>208.71428571428572</v>
      </c>
    </row>
    <row r="10" spans="2:20" x14ac:dyDescent="0.25">
      <c r="B10" s="228" t="s">
        <v>11</v>
      </c>
      <c r="C10" s="229">
        <v>17</v>
      </c>
      <c r="D10" s="229">
        <v>660</v>
      </c>
      <c r="E10" s="229">
        <f t="shared" si="1"/>
        <v>38.823529411764703</v>
      </c>
      <c r="G10" s="230" t="s">
        <v>11</v>
      </c>
      <c r="H10" s="229">
        <v>6</v>
      </c>
      <c r="I10" s="229">
        <v>1396</v>
      </c>
      <c r="J10" s="229">
        <f t="shared" si="0"/>
        <v>232.66666666666666</v>
      </c>
    </row>
    <row r="11" spans="2:20" x14ac:dyDescent="0.25">
      <c r="B11" s="254" t="s">
        <v>158</v>
      </c>
      <c r="C11" s="255">
        <f>SUM(C8:C10)</f>
        <v>24</v>
      </c>
      <c r="D11" s="255">
        <f>SUM(D8:D10)</f>
        <v>1382</v>
      </c>
      <c r="E11" s="255">
        <f t="shared" si="1"/>
        <v>57.583333333333336</v>
      </c>
      <c r="G11" s="254" t="s">
        <v>158</v>
      </c>
      <c r="H11" s="255">
        <f>SUM(H8:H10)</f>
        <v>24</v>
      </c>
      <c r="I11" s="255">
        <f>SUM(I8:I10)</f>
        <v>4040</v>
      </c>
      <c r="J11" s="255">
        <f t="shared" si="0"/>
        <v>168.33333333333334</v>
      </c>
    </row>
    <row r="12" spans="2:20" x14ac:dyDescent="0.25">
      <c r="B12" s="228" t="s">
        <v>13</v>
      </c>
      <c r="C12" s="229">
        <v>13</v>
      </c>
      <c r="D12" s="229">
        <v>242</v>
      </c>
      <c r="E12" s="229">
        <f t="shared" si="1"/>
        <v>18.615384615384617</v>
      </c>
      <c r="G12" s="230" t="s">
        <v>13</v>
      </c>
      <c r="H12" s="229">
        <v>4</v>
      </c>
      <c r="I12" s="229">
        <v>906</v>
      </c>
      <c r="J12" s="229">
        <f t="shared" si="0"/>
        <v>226.5</v>
      </c>
    </row>
    <row r="13" spans="2:20" x14ac:dyDescent="0.25">
      <c r="B13" s="228" t="s">
        <v>14</v>
      </c>
      <c r="C13" s="229">
        <v>15</v>
      </c>
      <c r="D13" s="229">
        <v>356</v>
      </c>
      <c r="E13" s="229">
        <f t="shared" si="1"/>
        <v>23.733333333333334</v>
      </c>
      <c r="G13" s="230" t="s">
        <v>14</v>
      </c>
      <c r="H13" s="229">
        <v>1</v>
      </c>
      <c r="I13" s="229">
        <f>98+112</f>
        <v>210</v>
      </c>
      <c r="J13" s="229">
        <f t="shared" si="0"/>
        <v>210</v>
      </c>
    </row>
    <row r="14" spans="2:20" x14ac:dyDescent="0.25">
      <c r="B14" s="228" t="s">
        <v>15</v>
      </c>
      <c r="C14" s="229">
        <v>5</v>
      </c>
      <c r="D14" s="229">
        <v>12</v>
      </c>
      <c r="E14" s="229">
        <f t="shared" si="1"/>
        <v>2.4</v>
      </c>
      <c r="G14" s="230" t="s">
        <v>15</v>
      </c>
      <c r="H14" s="229">
        <v>1</v>
      </c>
      <c r="I14" s="229">
        <f>96+105+103+104</f>
        <v>408</v>
      </c>
      <c r="J14" s="229">
        <f t="shared" si="0"/>
        <v>408</v>
      </c>
    </row>
    <row r="15" spans="2:20" x14ac:dyDescent="0.25">
      <c r="B15" s="254" t="s">
        <v>16</v>
      </c>
      <c r="C15" s="255">
        <f>SUM(C12:C14)</f>
        <v>33</v>
      </c>
      <c r="D15" s="255">
        <f>SUM(D12:D14)</f>
        <v>610</v>
      </c>
      <c r="E15" s="255">
        <f>D15/C15</f>
        <v>18.484848484848484</v>
      </c>
      <c r="G15" s="254" t="s">
        <v>16</v>
      </c>
      <c r="H15" s="255">
        <f>SUM(H12:H14)</f>
        <v>6</v>
      </c>
      <c r="I15" s="255">
        <f>SUM(I12:I14)</f>
        <v>1524</v>
      </c>
      <c r="J15" s="255">
        <f>I15/H15</f>
        <v>254</v>
      </c>
    </row>
    <row r="16" spans="2:20" x14ac:dyDescent="0.25">
      <c r="B16" s="228" t="s">
        <v>17</v>
      </c>
      <c r="C16" s="229">
        <v>2</v>
      </c>
      <c r="D16" s="231">
        <v>0</v>
      </c>
      <c r="E16" s="229">
        <f t="shared" si="1"/>
        <v>0</v>
      </c>
      <c r="G16" s="230" t="s">
        <v>17</v>
      </c>
      <c r="H16" s="229">
        <v>0</v>
      </c>
      <c r="I16" s="229">
        <v>0</v>
      </c>
      <c r="J16" s="229">
        <v>0</v>
      </c>
    </row>
    <row r="17" spans="2:14" x14ac:dyDescent="0.25">
      <c r="B17" s="228" t="s">
        <v>18</v>
      </c>
      <c r="C17" s="229">
        <v>7</v>
      </c>
      <c r="D17" s="231">
        <v>107</v>
      </c>
      <c r="E17" s="229">
        <f t="shared" si="1"/>
        <v>15.285714285714286</v>
      </c>
      <c r="G17" s="230" t="s">
        <v>18</v>
      </c>
      <c r="H17" s="229">
        <v>0</v>
      </c>
      <c r="I17" s="229">
        <v>0</v>
      </c>
      <c r="J17" s="229">
        <v>0</v>
      </c>
    </row>
    <row r="18" spans="2:14" x14ac:dyDescent="0.25">
      <c r="B18" s="228" t="s">
        <v>159</v>
      </c>
      <c r="C18" s="229">
        <v>0</v>
      </c>
      <c r="D18" s="231">
        <v>0</v>
      </c>
      <c r="E18" s="229">
        <v>0</v>
      </c>
      <c r="G18" s="230" t="s">
        <v>159</v>
      </c>
      <c r="H18" s="229">
        <v>0</v>
      </c>
      <c r="I18" s="229">
        <v>0</v>
      </c>
      <c r="J18" s="229">
        <v>0</v>
      </c>
    </row>
    <row r="19" spans="2:14" x14ac:dyDescent="0.25">
      <c r="B19" s="254" t="s">
        <v>160</v>
      </c>
      <c r="C19" s="255">
        <f>SUM(C16:C18)</f>
        <v>9</v>
      </c>
      <c r="D19" s="255">
        <f>SUM(D16:D18)</f>
        <v>107</v>
      </c>
      <c r="E19" s="255">
        <f>D19/C19</f>
        <v>11.888888888888889</v>
      </c>
      <c r="G19" s="254" t="s">
        <v>160</v>
      </c>
      <c r="H19" s="255">
        <f>SUM(H16:H18)</f>
        <v>0</v>
      </c>
      <c r="I19" s="255">
        <f>SUM(I16:I18)</f>
        <v>0</v>
      </c>
      <c r="J19" s="255">
        <v>0</v>
      </c>
    </row>
    <row r="20" spans="2:14" x14ac:dyDescent="0.25">
      <c r="B20" s="228" t="s">
        <v>161</v>
      </c>
      <c r="C20" s="229">
        <v>7</v>
      </c>
      <c r="D20" s="231">
        <v>35</v>
      </c>
      <c r="E20" s="229">
        <f t="shared" si="1"/>
        <v>5</v>
      </c>
      <c r="G20" s="230" t="s">
        <v>161</v>
      </c>
      <c r="H20" s="229">
        <v>0</v>
      </c>
      <c r="I20" s="229">
        <v>0</v>
      </c>
      <c r="J20" s="229">
        <v>0</v>
      </c>
    </row>
    <row r="21" spans="2:14" x14ac:dyDescent="0.25">
      <c r="B21" s="228" t="s">
        <v>162</v>
      </c>
      <c r="C21" s="229">
        <v>5</v>
      </c>
      <c r="D21" s="231">
        <v>363</v>
      </c>
      <c r="E21" s="229">
        <f t="shared" si="1"/>
        <v>72.599999999999994</v>
      </c>
      <c r="G21" s="230" t="s">
        <v>162</v>
      </c>
      <c r="H21" s="229">
        <v>1</v>
      </c>
      <c r="I21" s="229">
        <f>126+133</f>
        <v>259</v>
      </c>
      <c r="J21" s="229">
        <f t="shared" si="0"/>
        <v>259</v>
      </c>
    </row>
    <row r="22" spans="2:14" x14ac:dyDescent="0.25">
      <c r="B22" s="228" t="s">
        <v>163</v>
      </c>
      <c r="C22" s="229">
        <v>14</v>
      </c>
      <c r="D22" s="232">
        <v>1374</v>
      </c>
      <c r="E22" s="229">
        <f t="shared" si="1"/>
        <v>98.142857142857139</v>
      </c>
      <c r="G22" s="230" t="s">
        <v>163</v>
      </c>
      <c r="H22" s="229">
        <v>3</v>
      </c>
      <c r="I22" s="229">
        <v>560</v>
      </c>
      <c r="J22" s="229">
        <f t="shared" si="0"/>
        <v>186.66666666666666</v>
      </c>
    </row>
    <row r="23" spans="2:14" ht="15.75" thickBot="1" x14ac:dyDescent="0.3">
      <c r="B23" s="254" t="s">
        <v>164</v>
      </c>
      <c r="C23" s="255">
        <f>SUM(C20:C22)</f>
        <v>26</v>
      </c>
      <c r="D23" s="255">
        <f>SUM(D20:D22)</f>
        <v>1772</v>
      </c>
      <c r="E23" s="255">
        <f>D23/C23</f>
        <v>68.15384615384616</v>
      </c>
      <c r="G23" s="254" t="s">
        <v>164</v>
      </c>
      <c r="H23" s="255">
        <f>SUM(H20:H22)</f>
        <v>4</v>
      </c>
      <c r="I23" s="255">
        <f>SUM(I20:I22)</f>
        <v>819</v>
      </c>
      <c r="J23" s="255">
        <f>I23/H23</f>
        <v>204.75</v>
      </c>
    </row>
    <row r="24" spans="2:14" ht="15.75" thickBot="1" x14ac:dyDescent="0.3">
      <c r="B24" s="233" t="s">
        <v>7</v>
      </c>
      <c r="C24" s="225">
        <f>C11+C15+C19+C23</f>
        <v>92</v>
      </c>
      <c r="D24" s="234">
        <v>3871</v>
      </c>
      <c r="E24" s="225">
        <f>E23+E19+E15+E11</f>
        <v>156.11091686091686</v>
      </c>
      <c r="F24" s="235"/>
      <c r="G24" s="236" t="s">
        <v>7</v>
      </c>
      <c r="H24" s="225">
        <f>H23+H19+H15+H11</f>
        <v>34</v>
      </c>
      <c r="I24" s="225">
        <f>I11+I15+I19+I23</f>
        <v>6383</v>
      </c>
      <c r="J24" s="225">
        <f>J23+J19+J15+J11</f>
        <v>627.08333333333337</v>
      </c>
    </row>
    <row r="25" spans="2:14" ht="15.75" thickBot="1" x14ac:dyDescent="0.3">
      <c r="B25" s="237" t="s">
        <v>165</v>
      </c>
      <c r="C25" s="225">
        <f>C24/12</f>
        <v>7.666666666666667</v>
      </c>
      <c r="D25" s="238">
        <f>D24/12</f>
        <v>322.58333333333331</v>
      </c>
      <c r="E25" s="225">
        <f t="shared" si="1"/>
        <v>42.076086956521735</v>
      </c>
      <c r="F25" s="239"/>
      <c r="G25" s="237" t="s">
        <v>165</v>
      </c>
      <c r="H25" s="225">
        <f>H24/12</f>
        <v>2.8333333333333335</v>
      </c>
      <c r="I25" s="238">
        <f>I24/12</f>
        <v>531.91666666666663</v>
      </c>
      <c r="J25" s="225">
        <f>I25/H25</f>
        <v>187.73529411764704</v>
      </c>
    </row>
    <row r="26" spans="2:14" x14ac:dyDescent="0.25">
      <c r="B26" s="1"/>
      <c r="G26" s="357"/>
      <c r="H26" s="357"/>
      <c r="I26" s="357"/>
      <c r="L26" s="357"/>
      <c r="M26" s="357"/>
      <c r="N26" s="357"/>
    </row>
    <row r="28" spans="2:14" ht="21.75" customHeight="1" x14ac:dyDescent="0.25">
      <c r="B28" s="355" t="s">
        <v>166</v>
      </c>
      <c r="C28" s="355"/>
      <c r="D28" s="355"/>
      <c r="E28" s="355"/>
      <c r="G28" s="355" t="s">
        <v>167</v>
      </c>
      <c r="H28" s="355"/>
      <c r="I28" s="355"/>
      <c r="J28" s="355"/>
    </row>
    <row r="29" spans="2:14" ht="15.75" thickBot="1" x14ac:dyDescent="0.3"/>
    <row r="30" spans="2:14" ht="30" thickBot="1" x14ac:dyDescent="0.3">
      <c r="B30" s="225" t="s">
        <v>25</v>
      </c>
      <c r="C30" s="225" t="s">
        <v>153</v>
      </c>
      <c r="D30" s="226" t="s">
        <v>154</v>
      </c>
      <c r="E30" s="226" t="s">
        <v>155</v>
      </c>
      <c r="G30" s="225" t="s">
        <v>25</v>
      </c>
      <c r="H30" s="225" t="s">
        <v>153</v>
      </c>
      <c r="I30" s="226" t="s">
        <v>154</v>
      </c>
      <c r="J30" s="226" t="s">
        <v>155</v>
      </c>
    </row>
    <row r="31" spans="2:14" x14ac:dyDescent="0.25">
      <c r="B31" s="228" t="s">
        <v>156</v>
      </c>
      <c r="C31" s="229">
        <v>6</v>
      </c>
      <c r="D31" s="229">
        <f>293+343+45+144+237+98+55+109+92+124</f>
        <v>1540</v>
      </c>
      <c r="E31" s="229">
        <f>D31/C31</f>
        <v>256.66666666666669</v>
      </c>
      <c r="G31" s="228" t="s">
        <v>156</v>
      </c>
      <c r="H31" s="229">
        <v>5</v>
      </c>
      <c r="I31" s="229">
        <f>87+872+97+57+90+156+98+35+138</f>
        <v>1630</v>
      </c>
      <c r="J31" s="229">
        <f>I31/H31</f>
        <v>326</v>
      </c>
    </row>
    <row r="32" spans="2:14" x14ac:dyDescent="0.25">
      <c r="B32" s="228" t="s">
        <v>157</v>
      </c>
      <c r="C32" s="229">
        <v>5</v>
      </c>
      <c r="D32" s="229">
        <f>22+244+89+101+94+135+52+80+122</f>
        <v>939</v>
      </c>
      <c r="E32" s="229">
        <f>D32/C32</f>
        <v>187.8</v>
      </c>
      <c r="G32" s="228" t="s">
        <v>157</v>
      </c>
      <c r="H32" s="229">
        <v>6</v>
      </c>
      <c r="I32" s="229">
        <f>82+96+242+85+138+107+45+132</f>
        <v>927</v>
      </c>
      <c r="J32" s="229">
        <f>I32/H32</f>
        <v>154.5</v>
      </c>
    </row>
    <row r="33" spans="2:10" x14ac:dyDescent="0.25">
      <c r="B33" s="228" t="s">
        <v>11</v>
      </c>
      <c r="C33" s="229">
        <v>7</v>
      </c>
      <c r="D33" s="229">
        <f>225+40+56+135+49+47+201+116+107</f>
        <v>976</v>
      </c>
      <c r="E33" s="229">
        <f>D33/C33</f>
        <v>139.42857142857142</v>
      </c>
      <c r="G33" s="228" t="s">
        <v>11</v>
      </c>
      <c r="H33" s="229">
        <v>7</v>
      </c>
      <c r="I33" s="229">
        <f>314+34+132+104+124+91+97+55+144+46</f>
        <v>1141</v>
      </c>
      <c r="J33" s="229">
        <f>I33/H33</f>
        <v>163</v>
      </c>
    </row>
    <row r="34" spans="2:10" x14ac:dyDescent="0.25">
      <c r="B34" s="254" t="s">
        <v>158</v>
      </c>
      <c r="C34" s="255">
        <f>SUM(C31:C33)</f>
        <v>18</v>
      </c>
      <c r="D34" s="255">
        <f>SUM(D31:D33)</f>
        <v>3455</v>
      </c>
      <c r="E34" s="255">
        <f>D34/C34</f>
        <v>191.94444444444446</v>
      </c>
      <c r="G34" s="254" t="s">
        <v>158</v>
      </c>
      <c r="H34" s="255">
        <f>SUM(H31:H33)</f>
        <v>18</v>
      </c>
      <c r="I34" s="255">
        <f>SUM(I31:I33)</f>
        <v>3698</v>
      </c>
      <c r="J34" s="255">
        <f>+I34/H34</f>
        <v>205.44444444444446</v>
      </c>
    </row>
    <row r="35" spans="2:10" x14ac:dyDescent="0.25">
      <c r="B35" s="228" t="s">
        <v>13</v>
      </c>
      <c r="C35" s="229">
        <v>0</v>
      </c>
      <c r="D35" s="229">
        <v>0</v>
      </c>
      <c r="E35" s="229">
        <v>0</v>
      </c>
      <c r="G35" s="228" t="s">
        <v>13</v>
      </c>
      <c r="H35" s="229">
        <v>4</v>
      </c>
      <c r="I35" s="229">
        <f>72+87+109+60+87</f>
        <v>415</v>
      </c>
      <c r="J35" s="229">
        <f>I35/H35</f>
        <v>103.75</v>
      </c>
    </row>
    <row r="36" spans="2:10" x14ac:dyDescent="0.25">
      <c r="B36" s="228" t="s">
        <v>14</v>
      </c>
      <c r="C36" s="229">
        <v>0</v>
      </c>
      <c r="D36" s="229">
        <v>0</v>
      </c>
      <c r="E36" s="229">
        <v>0</v>
      </c>
      <c r="G36" s="228" t="s">
        <v>14</v>
      </c>
      <c r="H36" s="229">
        <v>2</v>
      </c>
      <c r="I36" s="229">
        <f>87+100+68</f>
        <v>255</v>
      </c>
      <c r="J36" s="229">
        <f>I36/H36</f>
        <v>127.5</v>
      </c>
    </row>
    <row r="37" spans="2:10" x14ac:dyDescent="0.25">
      <c r="B37" s="228" t="s">
        <v>15</v>
      </c>
      <c r="C37" s="229">
        <v>0</v>
      </c>
      <c r="D37" s="229">
        <v>0</v>
      </c>
      <c r="E37" s="229">
        <v>0</v>
      </c>
      <c r="G37" s="228" t="s">
        <v>15</v>
      </c>
      <c r="H37" s="229">
        <v>0</v>
      </c>
      <c r="I37" s="229">
        <v>0</v>
      </c>
      <c r="J37" s="229">
        <v>0</v>
      </c>
    </row>
    <row r="38" spans="2:10" x14ac:dyDescent="0.25">
      <c r="B38" s="254" t="s">
        <v>16</v>
      </c>
      <c r="C38" s="255">
        <f>SUM(C35:C37)</f>
        <v>0</v>
      </c>
      <c r="D38" s="255">
        <f>SUM(D35:D37)</f>
        <v>0</v>
      </c>
      <c r="E38" s="255"/>
      <c r="G38" s="254" t="s">
        <v>16</v>
      </c>
      <c r="H38" s="255">
        <f>SUM(H35:H37)</f>
        <v>6</v>
      </c>
      <c r="I38" s="255">
        <f>SUM(I35:I37)</f>
        <v>670</v>
      </c>
      <c r="J38" s="255">
        <f>+I38/H38</f>
        <v>111.66666666666667</v>
      </c>
    </row>
    <row r="39" spans="2:10" x14ac:dyDescent="0.25">
      <c r="B39" s="228" t="s">
        <v>17</v>
      </c>
      <c r="C39" s="229">
        <v>0</v>
      </c>
      <c r="D39" s="231">
        <v>0</v>
      </c>
      <c r="E39" s="229">
        <v>0</v>
      </c>
      <c r="G39" s="228" t="s">
        <v>17</v>
      </c>
      <c r="H39" s="229">
        <v>0</v>
      </c>
      <c r="I39" s="231">
        <v>0</v>
      </c>
      <c r="J39" s="229">
        <v>0</v>
      </c>
    </row>
    <row r="40" spans="2:10" x14ac:dyDescent="0.25">
      <c r="B40" s="228" t="s">
        <v>18</v>
      </c>
      <c r="C40" s="229">
        <v>0</v>
      </c>
      <c r="D40" s="231">
        <v>0</v>
      </c>
      <c r="E40" s="229">
        <v>0</v>
      </c>
      <c r="G40" s="228" t="s">
        <v>18</v>
      </c>
      <c r="H40" s="229">
        <v>1</v>
      </c>
      <c r="I40" s="231">
        <v>68</v>
      </c>
      <c r="J40" s="229">
        <f>I40/H40</f>
        <v>68</v>
      </c>
    </row>
    <row r="41" spans="2:10" x14ac:dyDescent="0.25">
      <c r="B41" s="228" t="s">
        <v>159</v>
      </c>
      <c r="C41" s="229">
        <v>2</v>
      </c>
      <c r="D41" s="231">
        <f>43+45+23+27</f>
        <v>138</v>
      </c>
      <c r="E41" s="229">
        <f>D41/C41</f>
        <v>69</v>
      </c>
      <c r="G41" s="228" t="s">
        <v>159</v>
      </c>
      <c r="H41" s="229"/>
      <c r="I41" s="231"/>
      <c r="J41" s="229"/>
    </row>
    <row r="42" spans="2:10" x14ac:dyDescent="0.25">
      <c r="B42" s="254" t="s">
        <v>160</v>
      </c>
      <c r="C42" s="255">
        <f>SUM(C39:C41)</f>
        <v>2</v>
      </c>
      <c r="D42" s="255">
        <f>SUM(D39:D41)</f>
        <v>138</v>
      </c>
      <c r="E42" s="255">
        <f>D42/C42</f>
        <v>69</v>
      </c>
      <c r="G42" s="254" t="s">
        <v>160</v>
      </c>
      <c r="H42" s="255">
        <f>SUM(H39:H41)</f>
        <v>1</v>
      </c>
      <c r="I42" s="255">
        <f>SUM(I39:I41)</f>
        <v>68</v>
      </c>
      <c r="J42" s="255">
        <f>SUM(J39:J41)</f>
        <v>68</v>
      </c>
    </row>
    <row r="43" spans="2:10" x14ac:dyDescent="0.25">
      <c r="B43" s="228" t="s">
        <v>161</v>
      </c>
      <c r="C43" s="229">
        <v>0</v>
      </c>
      <c r="D43" s="231">
        <v>0</v>
      </c>
      <c r="E43" s="229">
        <v>0</v>
      </c>
      <c r="G43" s="228" t="s">
        <v>161</v>
      </c>
      <c r="H43" s="229"/>
      <c r="I43" s="231"/>
      <c r="J43" s="229"/>
    </row>
    <row r="44" spans="2:10" x14ac:dyDescent="0.25">
      <c r="B44" s="228" t="s">
        <v>162</v>
      </c>
      <c r="C44" s="229">
        <v>0</v>
      </c>
      <c r="D44" s="231">
        <v>0</v>
      </c>
      <c r="E44" s="229">
        <v>0</v>
      </c>
      <c r="G44" s="228" t="s">
        <v>162</v>
      </c>
      <c r="H44" s="229"/>
      <c r="I44" s="231"/>
      <c r="J44" s="229"/>
    </row>
    <row r="45" spans="2:10" x14ac:dyDescent="0.25">
      <c r="B45" s="228" t="s">
        <v>163</v>
      </c>
      <c r="C45" s="229">
        <v>6</v>
      </c>
      <c r="D45" s="232">
        <f>83+136+239+91+84+239+91+86+47+326+141+108+93</f>
        <v>1764</v>
      </c>
      <c r="E45" s="229">
        <f>D45/C45</f>
        <v>294</v>
      </c>
      <c r="G45" s="228" t="s">
        <v>163</v>
      </c>
      <c r="H45" s="229"/>
      <c r="I45" s="232"/>
      <c r="J45" s="229"/>
    </row>
    <row r="46" spans="2:10" ht="15.75" thickBot="1" x14ac:dyDescent="0.3">
      <c r="B46" s="254" t="s">
        <v>164</v>
      </c>
      <c r="C46" s="255">
        <f>SUM(C43:C45)</f>
        <v>6</v>
      </c>
      <c r="D46" s="255">
        <f>SUM(D43:D45)</f>
        <v>1764</v>
      </c>
      <c r="E46" s="255">
        <f>SUM(E43:E45)</f>
        <v>294</v>
      </c>
      <c r="G46" s="254" t="s">
        <v>164</v>
      </c>
      <c r="H46" s="255">
        <f>SUM(H43:H45)</f>
        <v>0</v>
      </c>
      <c r="I46" s="255">
        <f>SUM(I43:I45)</f>
        <v>0</v>
      </c>
      <c r="J46" s="255">
        <f>SUM(J43:J45)</f>
        <v>0</v>
      </c>
    </row>
    <row r="47" spans="2:10" ht="15.75" thickBot="1" x14ac:dyDescent="0.3">
      <c r="B47" s="236" t="s">
        <v>7</v>
      </c>
      <c r="C47" s="225">
        <f>C34+C38+C42+C46</f>
        <v>26</v>
      </c>
      <c r="D47" s="225">
        <f>D34+D38+D42+D46</f>
        <v>5357</v>
      </c>
      <c r="E47" s="225">
        <f>E34+E38+E42+E46</f>
        <v>554.94444444444446</v>
      </c>
      <c r="G47" s="236" t="s">
        <v>7</v>
      </c>
      <c r="H47" s="225">
        <f>H34+H38+H42+H46</f>
        <v>25</v>
      </c>
      <c r="I47" s="225">
        <f>I34+I38+I42+I46</f>
        <v>4436</v>
      </c>
      <c r="J47" s="225">
        <f>J34+J38+J42+J46</f>
        <v>385.11111111111114</v>
      </c>
    </row>
    <row r="48" spans="2:10" ht="15.75" thickBot="1" x14ac:dyDescent="0.3">
      <c r="B48" s="237" t="s">
        <v>165</v>
      </c>
      <c r="C48" s="225">
        <f>C47/12</f>
        <v>2.1666666666666665</v>
      </c>
      <c r="D48" s="238">
        <f>D47/12</f>
        <v>446.41666666666669</v>
      </c>
      <c r="E48" s="225">
        <f>D48/C48</f>
        <v>206.03846153846155</v>
      </c>
      <c r="G48" s="237" t="s">
        <v>165</v>
      </c>
      <c r="H48" s="225">
        <f>H47/12</f>
        <v>2.0833333333333335</v>
      </c>
      <c r="I48" s="238">
        <f>I47/12</f>
        <v>369.66666666666669</v>
      </c>
      <c r="J48" s="225">
        <f>I48/H48</f>
        <v>177.44</v>
      </c>
    </row>
    <row r="51" spans="2:10" x14ac:dyDescent="0.25">
      <c r="B51" s="355" t="s">
        <v>168</v>
      </c>
      <c r="C51" s="355"/>
      <c r="D51" s="355"/>
      <c r="E51" s="355"/>
      <c r="G51" s="355" t="s">
        <v>169</v>
      </c>
      <c r="H51" s="355"/>
      <c r="I51" s="355"/>
      <c r="J51" s="355"/>
    </row>
    <row r="52" spans="2:10" ht="15.75" thickBot="1" x14ac:dyDescent="0.3"/>
    <row r="53" spans="2:10" ht="30" thickBot="1" x14ac:dyDescent="0.3">
      <c r="B53" s="225" t="s">
        <v>25</v>
      </c>
      <c r="C53" s="225" t="s">
        <v>153</v>
      </c>
      <c r="D53" s="226" t="s">
        <v>154</v>
      </c>
      <c r="E53" s="226" t="s">
        <v>155</v>
      </c>
      <c r="G53" s="225" t="s">
        <v>25</v>
      </c>
      <c r="H53" s="225" t="s">
        <v>153</v>
      </c>
      <c r="I53" s="226" t="s">
        <v>154</v>
      </c>
      <c r="J53" s="226" t="s">
        <v>155</v>
      </c>
    </row>
    <row r="54" spans="2:10" x14ac:dyDescent="0.25">
      <c r="B54" s="228" t="s">
        <v>156</v>
      </c>
      <c r="C54" s="229"/>
      <c r="D54" s="229"/>
      <c r="E54" s="229" t="e">
        <f>D54/C54</f>
        <v>#DIV/0!</v>
      </c>
      <c r="G54" s="228" t="s">
        <v>156</v>
      </c>
      <c r="H54" s="229"/>
      <c r="I54" s="229"/>
      <c r="J54" s="229" t="e">
        <f>I54/H54</f>
        <v>#DIV/0!</v>
      </c>
    </row>
    <row r="55" spans="2:10" x14ac:dyDescent="0.25">
      <c r="B55" s="228" t="s">
        <v>157</v>
      </c>
      <c r="C55" s="229"/>
      <c r="D55" s="229"/>
      <c r="E55" s="229" t="e">
        <f>D55/C55</f>
        <v>#DIV/0!</v>
      </c>
      <c r="G55" s="228" t="s">
        <v>157</v>
      </c>
      <c r="H55" s="229"/>
      <c r="I55" s="229"/>
      <c r="J55" s="229" t="e">
        <f>I55/H55</f>
        <v>#DIV/0!</v>
      </c>
    </row>
    <row r="56" spans="2:10" x14ac:dyDescent="0.25">
      <c r="B56" s="228" t="s">
        <v>11</v>
      </c>
      <c r="C56" s="229"/>
      <c r="D56" s="229"/>
      <c r="E56" s="229" t="e">
        <f>D56/C56</f>
        <v>#DIV/0!</v>
      </c>
      <c r="G56" s="228" t="s">
        <v>11</v>
      </c>
      <c r="H56" s="229"/>
      <c r="I56" s="229"/>
      <c r="J56" s="229" t="e">
        <f>I56/H56</f>
        <v>#DIV/0!</v>
      </c>
    </row>
    <row r="57" spans="2:10" x14ac:dyDescent="0.25">
      <c r="B57" s="254" t="s">
        <v>158</v>
      </c>
      <c r="C57" s="255">
        <f>SUM(C54:C56)</f>
        <v>0</v>
      </c>
      <c r="D57" s="255">
        <f>SUM(D54:D56)</f>
        <v>0</v>
      </c>
      <c r="E57" s="255" t="e">
        <f>+D57/C57</f>
        <v>#DIV/0!</v>
      </c>
      <c r="G57" s="254" t="s">
        <v>158</v>
      </c>
      <c r="H57" s="255">
        <f>SUM(H54:H56)</f>
        <v>0</v>
      </c>
      <c r="I57" s="255">
        <f>SUM(I54:I56)</f>
        <v>0</v>
      </c>
      <c r="J57" s="255" t="e">
        <f>+I57/H57</f>
        <v>#DIV/0!</v>
      </c>
    </row>
    <row r="58" spans="2:10" x14ac:dyDescent="0.25">
      <c r="B58" s="228" t="s">
        <v>13</v>
      </c>
      <c r="C58" s="229"/>
      <c r="D58" s="229"/>
      <c r="E58" s="229" t="e">
        <f>D58/C58</f>
        <v>#DIV/0!</v>
      </c>
      <c r="G58" s="228" t="s">
        <v>13</v>
      </c>
      <c r="H58" s="229"/>
      <c r="I58" s="229"/>
      <c r="J58" s="229" t="e">
        <f>I58/H58</f>
        <v>#DIV/0!</v>
      </c>
    </row>
    <row r="59" spans="2:10" x14ac:dyDescent="0.25">
      <c r="B59" s="228" t="s">
        <v>14</v>
      </c>
      <c r="C59" s="229"/>
      <c r="D59" s="229"/>
      <c r="E59" s="229" t="e">
        <f>D59/C59</f>
        <v>#DIV/0!</v>
      </c>
      <c r="G59" s="228" t="s">
        <v>14</v>
      </c>
      <c r="H59" s="229"/>
      <c r="I59" s="229"/>
      <c r="J59" s="229" t="e">
        <f>I59/H59</f>
        <v>#DIV/0!</v>
      </c>
    </row>
    <row r="60" spans="2:10" x14ac:dyDescent="0.25">
      <c r="B60" s="228" t="s">
        <v>15</v>
      </c>
      <c r="C60" s="229"/>
      <c r="D60" s="229"/>
      <c r="E60" s="229">
        <v>0</v>
      </c>
      <c r="G60" s="228" t="s">
        <v>15</v>
      </c>
      <c r="H60" s="229"/>
      <c r="I60" s="229"/>
      <c r="J60" s="229">
        <v>0</v>
      </c>
    </row>
    <row r="61" spans="2:10" x14ac:dyDescent="0.25">
      <c r="B61" s="254" t="s">
        <v>16</v>
      </c>
      <c r="C61" s="255">
        <f>SUM(C58:C60)</f>
        <v>0</v>
      </c>
      <c r="D61" s="255">
        <f>SUM(D58:D60)</f>
        <v>0</v>
      </c>
      <c r="E61" s="255" t="e">
        <f>+D61/C61</f>
        <v>#DIV/0!</v>
      </c>
      <c r="G61" s="254" t="s">
        <v>16</v>
      </c>
      <c r="H61" s="255">
        <f>SUM(H58:H60)</f>
        <v>0</v>
      </c>
      <c r="I61" s="255">
        <f>SUM(I58:I60)</f>
        <v>0</v>
      </c>
      <c r="J61" s="255" t="e">
        <f>+I61/H61</f>
        <v>#DIV/0!</v>
      </c>
    </row>
    <row r="62" spans="2:10" x14ac:dyDescent="0.25">
      <c r="B62" s="228" t="s">
        <v>17</v>
      </c>
      <c r="C62" s="229"/>
      <c r="D62" s="231"/>
      <c r="E62" s="229">
        <v>0</v>
      </c>
      <c r="G62" s="228" t="s">
        <v>17</v>
      </c>
      <c r="H62" s="229"/>
      <c r="I62" s="231"/>
      <c r="J62" s="229">
        <v>0</v>
      </c>
    </row>
    <row r="63" spans="2:10" x14ac:dyDescent="0.25">
      <c r="B63" s="228" t="s">
        <v>18</v>
      </c>
      <c r="C63" s="229"/>
      <c r="D63" s="231"/>
      <c r="E63" s="229" t="e">
        <f>D63/C63</f>
        <v>#DIV/0!</v>
      </c>
      <c r="G63" s="228" t="s">
        <v>18</v>
      </c>
      <c r="H63" s="229"/>
      <c r="I63" s="231"/>
      <c r="J63" s="229" t="e">
        <f>I63/H63</f>
        <v>#DIV/0!</v>
      </c>
    </row>
    <row r="64" spans="2:10" x14ac:dyDescent="0.25">
      <c r="B64" s="228" t="s">
        <v>159</v>
      </c>
      <c r="C64" s="229"/>
      <c r="D64" s="231"/>
      <c r="E64" s="229"/>
      <c r="G64" s="228" t="s">
        <v>159</v>
      </c>
      <c r="H64" s="229"/>
      <c r="I64" s="231"/>
      <c r="J64" s="229"/>
    </row>
    <row r="65" spans="2:10" x14ac:dyDescent="0.25">
      <c r="B65" s="254" t="s">
        <v>160</v>
      </c>
      <c r="C65" s="255">
        <f>SUM(C62:C64)</f>
        <v>0</v>
      </c>
      <c r="D65" s="255">
        <f>SUM(D62:D64)</f>
        <v>0</v>
      </c>
      <c r="E65" s="255" t="e">
        <f>SUM(E62:E64)</f>
        <v>#DIV/0!</v>
      </c>
      <c r="G65" s="254" t="s">
        <v>160</v>
      </c>
      <c r="H65" s="255">
        <f>SUM(H62:H64)</f>
        <v>0</v>
      </c>
      <c r="I65" s="255">
        <f>SUM(I62:I64)</f>
        <v>0</v>
      </c>
      <c r="J65" s="255" t="e">
        <f>SUM(J62:J64)</f>
        <v>#DIV/0!</v>
      </c>
    </row>
    <row r="66" spans="2:10" x14ac:dyDescent="0.25">
      <c r="B66" s="228" t="s">
        <v>161</v>
      </c>
      <c r="C66" s="229"/>
      <c r="D66" s="231"/>
      <c r="E66" s="229"/>
      <c r="G66" s="228" t="s">
        <v>161</v>
      </c>
      <c r="H66" s="229"/>
      <c r="I66" s="231"/>
      <c r="J66" s="229"/>
    </row>
    <row r="67" spans="2:10" x14ac:dyDescent="0.25">
      <c r="B67" s="228" t="s">
        <v>162</v>
      </c>
      <c r="C67" s="229"/>
      <c r="D67" s="231"/>
      <c r="E67" s="229"/>
      <c r="G67" s="228" t="s">
        <v>162</v>
      </c>
      <c r="H67" s="229">
        <v>1</v>
      </c>
      <c r="I67" s="231">
        <v>131</v>
      </c>
      <c r="J67" s="229">
        <f>I67/H67</f>
        <v>131</v>
      </c>
    </row>
    <row r="68" spans="2:10" x14ac:dyDescent="0.25">
      <c r="B68" s="228" t="s">
        <v>163</v>
      </c>
      <c r="C68" s="229"/>
      <c r="D68" s="232"/>
      <c r="E68" s="229"/>
      <c r="G68" s="228" t="s">
        <v>163</v>
      </c>
      <c r="H68" s="229">
        <v>1</v>
      </c>
      <c r="I68" s="232">
        <v>354</v>
      </c>
      <c r="J68" s="229">
        <f>I68/H68</f>
        <v>354</v>
      </c>
    </row>
    <row r="69" spans="2:10" ht="15.75" thickBot="1" x14ac:dyDescent="0.3">
      <c r="B69" s="254" t="s">
        <v>164</v>
      </c>
      <c r="C69" s="255">
        <f>SUM(C66:C68)</f>
        <v>0</v>
      </c>
      <c r="D69" s="255">
        <f>SUM(D66:D68)</f>
        <v>0</v>
      </c>
      <c r="E69" s="255">
        <f>SUM(E66:E68)</f>
        <v>0</v>
      </c>
      <c r="G69" s="254" t="s">
        <v>164</v>
      </c>
      <c r="H69" s="255">
        <f>SUM(H66:H68)</f>
        <v>2</v>
      </c>
      <c r="I69" s="255">
        <f>SUM(I66:I68)</f>
        <v>485</v>
      </c>
      <c r="J69" s="255">
        <f>SUM(J66:J68)</f>
        <v>485</v>
      </c>
    </row>
    <row r="70" spans="2:10" ht="15.75" thickBot="1" x14ac:dyDescent="0.3">
      <c r="B70" s="236" t="s">
        <v>7</v>
      </c>
      <c r="C70" s="225">
        <f>C57+C61+C65+C69</f>
        <v>0</v>
      </c>
      <c r="D70" s="225">
        <f>D57+D61+D65+D69</f>
        <v>0</v>
      </c>
      <c r="E70" s="225" t="e">
        <f>E57+E61+E65+E69</f>
        <v>#DIV/0!</v>
      </c>
      <c r="G70" s="236" t="s">
        <v>7</v>
      </c>
      <c r="H70" s="225">
        <f>H57+H61+H65+H69</f>
        <v>2</v>
      </c>
      <c r="I70" s="225">
        <f>I57+I61+I65+I69</f>
        <v>485</v>
      </c>
      <c r="J70" s="225" t="e">
        <f>J57+J61+J65+J69</f>
        <v>#DIV/0!</v>
      </c>
    </row>
    <row r="71" spans="2:10" ht="15.75" thickBot="1" x14ac:dyDescent="0.3">
      <c r="B71" s="237" t="s">
        <v>165</v>
      </c>
      <c r="C71" s="225">
        <f>C70/12</f>
        <v>0</v>
      </c>
      <c r="D71" s="238">
        <f>D70/12</f>
        <v>0</v>
      </c>
      <c r="E71" s="225" t="e">
        <f>D71/C71</f>
        <v>#DIV/0!</v>
      </c>
      <c r="G71" s="237" t="s">
        <v>165</v>
      </c>
      <c r="H71" s="225">
        <f>H70/12</f>
        <v>0.16666666666666666</v>
      </c>
      <c r="I71" s="238">
        <f>I70/12</f>
        <v>40.416666666666664</v>
      </c>
      <c r="J71" s="225">
        <f>I71/H71</f>
        <v>242.5</v>
      </c>
    </row>
    <row r="74" spans="2:10" x14ac:dyDescent="0.25">
      <c r="B74" s="355" t="s">
        <v>170</v>
      </c>
      <c r="C74" s="355"/>
      <c r="D74" s="355"/>
      <c r="E74" s="355"/>
      <c r="G74" s="355" t="s">
        <v>171</v>
      </c>
      <c r="H74" s="355"/>
      <c r="I74" s="355"/>
      <c r="J74" s="355"/>
    </row>
    <row r="75" spans="2:10" ht="15.75" thickBot="1" x14ac:dyDescent="0.3"/>
    <row r="76" spans="2:10" ht="30" thickBot="1" x14ac:dyDescent="0.3">
      <c r="B76" s="225" t="s">
        <v>25</v>
      </c>
      <c r="C76" s="225" t="s">
        <v>153</v>
      </c>
      <c r="D76" s="226" t="s">
        <v>154</v>
      </c>
      <c r="E76" s="226" t="s">
        <v>155</v>
      </c>
      <c r="G76" s="225" t="s">
        <v>25</v>
      </c>
      <c r="H76" s="225" t="s">
        <v>153</v>
      </c>
      <c r="I76" s="226" t="s">
        <v>154</v>
      </c>
      <c r="J76" s="226" t="s">
        <v>155</v>
      </c>
    </row>
    <row r="77" spans="2:10" x14ac:dyDescent="0.25">
      <c r="B77" s="228" t="s">
        <v>156</v>
      </c>
      <c r="C77" s="229">
        <v>6</v>
      </c>
      <c r="D77" s="229">
        <v>550</v>
      </c>
      <c r="E77" s="229">
        <f>D77/C77</f>
        <v>91.666666666666671</v>
      </c>
      <c r="G77" s="228" t="s">
        <v>156</v>
      </c>
      <c r="H77" s="229">
        <v>2</v>
      </c>
      <c r="I77" s="229">
        <v>126</v>
      </c>
      <c r="J77" s="229">
        <f>I77/H77</f>
        <v>63</v>
      </c>
    </row>
    <row r="78" spans="2:10" x14ac:dyDescent="0.25">
      <c r="B78" s="228" t="s">
        <v>157</v>
      </c>
      <c r="C78" s="229">
        <v>3</v>
      </c>
      <c r="D78" s="229">
        <v>578</v>
      </c>
      <c r="E78" s="229">
        <f>D78/C78</f>
        <v>192.66666666666666</v>
      </c>
      <c r="G78" s="228" t="s">
        <v>157</v>
      </c>
      <c r="H78" s="229">
        <v>7</v>
      </c>
      <c r="I78" s="229">
        <v>633</v>
      </c>
      <c r="J78" s="229">
        <f>I78/H78</f>
        <v>90.428571428571431</v>
      </c>
    </row>
    <row r="79" spans="2:10" x14ac:dyDescent="0.25">
      <c r="B79" s="228" t="s">
        <v>11</v>
      </c>
      <c r="C79" s="229">
        <v>3</v>
      </c>
      <c r="D79" s="229">
        <v>348</v>
      </c>
      <c r="E79" s="229">
        <f>D79/C79</f>
        <v>116</v>
      </c>
      <c r="G79" s="228" t="s">
        <v>11</v>
      </c>
      <c r="H79" s="229">
        <v>3</v>
      </c>
      <c r="I79" s="229">
        <v>298</v>
      </c>
      <c r="J79" s="229">
        <f>I79/H79</f>
        <v>99.333333333333329</v>
      </c>
    </row>
    <row r="80" spans="2:10" x14ac:dyDescent="0.25">
      <c r="B80" s="254" t="s">
        <v>158</v>
      </c>
      <c r="C80" s="255">
        <f>SUM(C77:C79)</f>
        <v>12</v>
      </c>
      <c r="D80" s="255">
        <f>SUM(D77:D79)</f>
        <v>1476</v>
      </c>
      <c r="E80" s="255">
        <f>+D80/C80</f>
        <v>123</v>
      </c>
      <c r="G80" s="254" t="s">
        <v>158</v>
      </c>
      <c r="H80" s="255">
        <f>SUM(H77:H79)</f>
        <v>12</v>
      </c>
      <c r="I80" s="255">
        <f>SUM(I77:I79)</f>
        <v>1057</v>
      </c>
      <c r="J80" s="255">
        <f>+I80/H80</f>
        <v>88.083333333333329</v>
      </c>
    </row>
    <row r="81" spans="2:10" x14ac:dyDescent="0.25">
      <c r="B81" s="228" t="s">
        <v>13</v>
      </c>
      <c r="C81" s="229">
        <v>3</v>
      </c>
      <c r="D81" s="229">
        <v>200</v>
      </c>
      <c r="E81" s="229">
        <f>D81/C81</f>
        <v>66.666666666666671</v>
      </c>
      <c r="G81" s="228" t="s">
        <v>13</v>
      </c>
      <c r="H81" s="229"/>
      <c r="I81" s="229"/>
      <c r="J81" s="229" t="e">
        <f>I81/H81</f>
        <v>#DIV/0!</v>
      </c>
    </row>
    <row r="82" spans="2:10" x14ac:dyDescent="0.25">
      <c r="B82" s="228" t="s">
        <v>14</v>
      </c>
      <c r="C82" s="229">
        <v>1</v>
      </c>
      <c r="D82" s="229">
        <v>76</v>
      </c>
      <c r="E82" s="229">
        <f>D82/C82</f>
        <v>76</v>
      </c>
      <c r="G82" s="228" t="s">
        <v>14</v>
      </c>
      <c r="H82" s="229"/>
      <c r="I82" s="229"/>
      <c r="J82" s="229" t="e">
        <f>I82/H82</f>
        <v>#DIV/0!</v>
      </c>
    </row>
    <row r="83" spans="2:10" x14ac:dyDescent="0.25">
      <c r="B83" s="228" t="s">
        <v>15</v>
      </c>
      <c r="C83" s="229"/>
      <c r="D83" s="229"/>
      <c r="E83" s="229">
        <v>0</v>
      </c>
      <c r="G83" s="228" t="s">
        <v>15</v>
      </c>
      <c r="H83" s="229"/>
      <c r="I83" s="229"/>
      <c r="J83" s="229">
        <v>0</v>
      </c>
    </row>
    <row r="84" spans="2:10" x14ac:dyDescent="0.25">
      <c r="B84" s="254" t="s">
        <v>16</v>
      </c>
      <c r="C84" s="255">
        <f>SUM(C81:C83)</f>
        <v>4</v>
      </c>
      <c r="D84" s="255">
        <f>SUM(D81:D83)</f>
        <v>276</v>
      </c>
      <c r="E84" s="255">
        <f>+D84/C84</f>
        <v>69</v>
      </c>
      <c r="G84" s="254" t="s">
        <v>16</v>
      </c>
      <c r="H84" s="255">
        <f>SUM(H81:H83)</f>
        <v>0</v>
      </c>
      <c r="I84" s="255">
        <f>SUM(I81:I83)</f>
        <v>0</v>
      </c>
      <c r="J84" s="255" t="e">
        <f>+I84/H84</f>
        <v>#DIV/0!</v>
      </c>
    </row>
    <row r="85" spans="2:10" x14ac:dyDescent="0.25">
      <c r="B85" s="228" t="s">
        <v>17</v>
      </c>
      <c r="C85" s="229">
        <v>0</v>
      </c>
      <c r="D85" s="231">
        <v>0</v>
      </c>
      <c r="E85" s="229">
        <v>0</v>
      </c>
      <c r="G85" s="228" t="s">
        <v>17</v>
      </c>
      <c r="H85" s="229"/>
      <c r="I85" s="231"/>
      <c r="J85" s="229">
        <v>0</v>
      </c>
    </row>
    <row r="86" spans="2:10" x14ac:dyDescent="0.25">
      <c r="B86" s="228" t="s">
        <v>18</v>
      </c>
      <c r="C86" s="229">
        <v>0</v>
      </c>
      <c r="D86" s="231">
        <v>0</v>
      </c>
      <c r="E86" s="229"/>
      <c r="G86" s="228" t="s">
        <v>18</v>
      </c>
      <c r="H86" s="229"/>
      <c r="I86" s="231"/>
      <c r="J86" s="229" t="e">
        <f>I86/H86</f>
        <v>#DIV/0!</v>
      </c>
    </row>
    <row r="87" spans="2:10" x14ac:dyDescent="0.25">
      <c r="B87" s="228" t="s">
        <v>159</v>
      </c>
      <c r="C87" s="229">
        <v>0</v>
      </c>
      <c r="D87" s="231">
        <v>0</v>
      </c>
      <c r="E87" s="229"/>
      <c r="G87" s="228" t="s">
        <v>159</v>
      </c>
      <c r="H87" s="229"/>
      <c r="I87" s="231"/>
      <c r="J87" s="229"/>
    </row>
    <row r="88" spans="2:10" x14ac:dyDescent="0.25">
      <c r="B88" s="254" t="s">
        <v>160</v>
      </c>
      <c r="C88" s="255">
        <f>SUM(C85:C87)</f>
        <v>0</v>
      </c>
      <c r="D88" s="255">
        <f>SUM(D85:D87)</f>
        <v>0</v>
      </c>
      <c r="E88" s="255">
        <f>SUM(E85:E87)</f>
        <v>0</v>
      </c>
      <c r="G88" s="254" t="s">
        <v>160</v>
      </c>
      <c r="H88" s="255">
        <f>SUM(H85:H87)</f>
        <v>0</v>
      </c>
      <c r="I88" s="255">
        <f>SUM(I85:I87)</f>
        <v>0</v>
      </c>
      <c r="J88" s="255" t="e">
        <f>SUM(J85:J87)</f>
        <v>#DIV/0!</v>
      </c>
    </row>
    <row r="89" spans="2:10" x14ac:dyDescent="0.25">
      <c r="B89" s="228" t="s">
        <v>161</v>
      </c>
      <c r="C89" s="229">
        <v>0</v>
      </c>
      <c r="D89" s="231">
        <v>0</v>
      </c>
      <c r="E89" s="229"/>
      <c r="G89" s="228" t="s">
        <v>161</v>
      </c>
      <c r="H89" s="229"/>
      <c r="I89" s="231"/>
      <c r="J89" s="229"/>
    </row>
    <row r="90" spans="2:10" x14ac:dyDescent="0.25">
      <c r="B90" s="228" t="s">
        <v>162</v>
      </c>
      <c r="C90" s="229">
        <v>1</v>
      </c>
      <c r="D90" s="231">
        <v>108</v>
      </c>
      <c r="E90" s="229">
        <f>D90/C90</f>
        <v>108</v>
      </c>
      <c r="G90" s="228" t="s">
        <v>162</v>
      </c>
      <c r="H90" s="229"/>
      <c r="I90" s="231"/>
      <c r="J90" s="229"/>
    </row>
    <row r="91" spans="2:10" x14ac:dyDescent="0.25">
      <c r="B91" s="228" t="s">
        <v>163</v>
      </c>
      <c r="C91" s="229">
        <v>5</v>
      </c>
      <c r="D91" s="232">
        <v>467</v>
      </c>
      <c r="E91" s="229">
        <f>D91/C91</f>
        <v>93.4</v>
      </c>
      <c r="G91" s="228" t="s">
        <v>163</v>
      </c>
      <c r="H91" s="229"/>
      <c r="I91" s="232"/>
      <c r="J91" s="229"/>
    </row>
    <row r="92" spans="2:10" ht="15.75" thickBot="1" x14ac:dyDescent="0.3">
      <c r="B92" s="254" t="s">
        <v>164</v>
      </c>
      <c r="C92" s="255">
        <f>SUM(C89:C91)</f>
        <v>6</v>
      </c>
      <c r="D92" s="255">
        <f>SUM(D89:D91)</f>
        <v>575</v>
      </c>
      <c r="E92" s="255">
        <f>SUM(E89:E91)</f>
        <v>201.4</v>
      </c>
      <c r="G92" s="254" t="s">
        <v>164</v>
      </c>
      <c r="H92" s="255">
        <f>SUM(H89:H91)</f>
        <v>0</v>
      </c>
      <c r="I92" s="255">
        <f>SUM(I89:I91)</f>
        <v>0</v>
      </c>
      <c r="J92" s="255">
        <f>SUM(J89:J91)</f>
        <v>0</v>
      </c>
    </row>
    <row r="93" spans="2:10" ht="15.75" thickBot="1" x14ac:dyDescent="0.3">
      <c r="B93" s="236" t="s">
        <v>7</v>
      </c>
      <c r="C93" s="225">
        <f>C80+C84+C88+C92</f>
        <v>22</v>
      </c>
      <c r="D93" s="225">
        <f>D80+D84+D88+D92</f>
        <v>2327</v>
      </c>
      <c r="E93" s="225">
        <f>E80+E84+E88+E92</f>
        <v>393.4</v>
      </c>
      <c r="G93" s="236" t="s">
        <v>7</v>
      </c>
      <c r="H93" s="225">
        <f>H80+H84+H88+H92</f>
        <v>12</v>
      </c>
      <c r="I93" s="225">
        <f>I80+I84+I88+I92</f>
        <v>1057</v>
      </c>
      <c r="J93" s="225" t="e">
        <f>J80+J84+J88+J92</f>
        <v>#DIV/0!</v>
      </c>
    </row>
    <row r="94" spans="2:10" ht="15.75" thickBot="1" x14ac:dyDescent="0.3">
      <c r="B94" s="237" t="s">
        <v>165</v>
      </c>
      <c r="C94" s="225">
        <f>C93/12</f>
        <v>1.8333333333333333</v>
      </c>
      <c r="D94" s="238">
        <f>D93/12</f>
        <v>193.91666666666666</v>
      </c>
      <c r="E94" s="225">
        <f>D94/C94</f>
        <v>105.77272727272727</v>
      </c>
      <c r="G94" s="237" t="s">
        <v>165</v>
      </c>
      <c r="H94" s="225">
        <f>H93/12</f>
        <v>1</v>
      </c>
      <c r="I94" s="238">
        <f>I93/12</f>
        <v>88.083333333333329</v>
      </c>
      <c r="J94" s="225">
        <f>I94/H94</f>
        <v>88.083333333333329</v>
      </c>
    </row>
    <row r="97" spans="2:10" x14ac:dyDescent="0.25">
      <c r="B97" s="355" t="s">
        <v>172</v>
      </c>
      <c r="C97" s="355"/>
      <c r="D97" s="355"/>
      <c r="E97" s="355"/>
      <c r="G97" s="355" t="s">
        <v>173</v>
      </c>
      <c r="H97" s="355"/>
      <c r="I97" s="355"/>
      <c r="J97" s="355"/>
    </row>
    <row r="98" spans="2:10" ht="15.75" thickBot="1" x14ac:dyDescent="0.3"/>
    <row r="99" spans="2:10" ht="30" thickBot="1" x14ac:dyDescent="0.3">
      <c r="B99" s="225" t="s">
        <v>25</v>
      </c>
      <c r="C99" s="225" t="s">
        <v>153</v>
      </c>
      <c r="D99" s="226" t="s">
        <v>154</v>
      </c>
      <c r="E99" s="226" t="s">
        <v>155</v>
      </c>
      <c r="G99" s="225" t="s">
        <v>25</v>
      </c>
      <c r="H99" s="225" t="s">
        <v>153</v>
      </c>
      <c r="I99" s="226" t="s">
        <v>154</v>
      </c>
      <c r="J99" s="226" t="s">
        <v>155</v>
      </c>
    </row>
    <row r="100" spans="2:10" x14ac:dyDescent="0.25">
      <c r="B100" s="228" t="s">
        <v>156</v>
      </c>
      <c r="C100" s="229">
        <v>2</v>
      </c>
      <c r="D100" s="229">
        <f>89+85</f>
        <v>174</v>
      </c>
      <c r="E100" s="229">
        <f>D100/C100</f>
        <v>87</v>
      </c>
      <c r="G100" s="230" t="s">
        <v>156</v>
      </c>
      <c r="H100" s="229">
        <f>+'[9]Cruise Ships'!C36</f>
        <v>6</v>
      </c>
      <c r="I100" s="229">
        <f>+'[9]Cruise Ships'!C37</f>
        <v>923</v>
      </c>
      <c r="J100" s="229">
        <f>I100/H100</f>
        <v>153.83333333333334</v>
      </c>
    </row>
    <row r="101" spans="2:10" x14ac:dyDescent="0.25">
      <c r="B101" s="228" t="s">
        <v>157</v>
      </c>
      <c r="C101" s="229">
        <f>+'[9]Cruise Ships'!D32</f>
        <v>2</v>
      </c>
      <c r="D101" s="229">
        <f>+'[9]Cruise Ships'!D33</f>
        <v>253</v>
      </c>
      <c r="E101" s="229">
        <f>D101/C101</f>
        <v>126.5</v>
      </c>
      <c r="G101" s="230" t="s">
        <v>157</v>
      </c>
      <c r="H101" s="229">
        <f>+'[9]Cruise Ships'!D36</f>
        <v>2</v>
      </c>
      <c r="I101" s="229">
        <f>+'[9]Cruise Ships'!D37</f>
        <v>433</v>
      </c>
      <c r="J101" s="229">
        <f>I101/H101</f>
        <v>216.5</v>
      </c>
    </row>
    <row r="102" spans="2:10" x14ac:dyDescent="0.25">
      <c r="B102" s="228" t="s">
        <v>11</v>
      </c>
      <c r="C102" s="229">
        <f>+'[9]Cruise Ships'!E32</f>
        <v>6</v>
      </c>
      <c r="D102" s="229">
        <f>+'[9]Cruise Ships'!E33</f>
        <v>786</v>
      </c>
      <c r="E102" s="229">
        <f>D102/C102</f>
        <v>131</v>
      </c>
      <c r="G102" s="230" t="s">
        <v>11</v>
      </c>
      <c r="H102" s="229">
        <f>+'[9]Cruise Ships'!E36</f>
        <v>3</v>
      </c>
      <c r="I102" s="229">
        <f>+'[9]Cruise Ships'!E37</f>
        <v>378</v>
      </c>
      <c r="J102" s="229">
        <f>I102/H102</f>
        <v>126</v>
      </c>
    </row>
    <row r="103" spans="2:10" x14ac:dyDescent="0.25">
      <c r="B103" s="254" t="s">
        <v>158</v>
      </c>
      <c r="C103" s="255">
        <f>SUM(C100:C102)</f>
        <v>10</v>
      </c>
      <c r="D103" s="255">
        <f>SUM(D100:D102)</f>
        <v>1213</v>
      </c>
      <c r="E103" s="255">
        <f>+D103/C103</f>
        <v>121.3</v>
      </c>
      <c r="G103" s="240" t="s">
        <v>158</v>
      </c>
      <c r="H103" s="241">
        <f>SUM(H100:H102)</f>
        <v>11</v>
      </c>
      <c r="I103" s="241">
        <f>SUM(I100:I102)</f>
        <v>1734</v>
      </c>
      <c r="J103" s="241">
        <f>+I103/H103</f>
        <v>157.63636363636363</v>
      </c>
    </row>
    <row r="104" spans="2:10" x14ac:dyDescent="0.25">
      <c r="B104" s="228" t="s">
        <v>13</v>
      </c>
      <c r="C104" s="229"/>
      <c r="D104" s="229"/>
      <c r="E104" s="229" t="e">
        <f>D104/C104</f>
        <v>#DIV/0!</v>
      </c>
      <c r="G104" s="230" t="s">
        <v>13</v>
      </c>
      <c r="H104" s="229">
        <f>+'[9]Cruise Ships'!F36</f>
        <v>3</v>
      </c>
      <c r="I104" s="229">
        <f>+'[9]Cruise Ships'!F37</f>
        <v>351</v>
      </c>
      <c r="J104" s="229">
        <f>I104/H104</f>
        <v>117</v>
      </c>
    </row>
    <row r="105" spans="2:10" x14ac:dyDescent="0.25">
      <c r="B105" s="228" t="s">
        <v>14</v>
      </c>
      <c r="C105" s="229"/>
      <c r="D105" s="229"/>
      <c r="E105" s="229" t="e">
        <f>D105/C105</f>
        <v>#DIV/0!</v>
      </c>
      <c r="G105" s="230" t="s">
        <v>14</v>
      </c>
      <c r="H105" s="229"/>
      <c r="I105" s="229"/>
      <c r="J105" s="229" t="e">
        <f>I105/H105</f>
        <v>#DIV/0!</v>
      </c>
    </row>
    <row r="106" spans="2:10" x14ac:dyDescent="0.25">
      <c r="B106" s="228" t="s">
        <v>15</v>
      </c>
      <c r="C106" s="229"/>
      <c r="D106" s="229"/>
      <c r="E106" s="229">
        <v>0</v>
      </c>
      <c r="G106" s="230" t="s">
        <v>15</v>
      </c>
      <c r="H106" s="229"/>
      <c r="I106" s="229"/>
      <c r="J106" s="229">
        <v>0</v>
      </c>
    </row>
    <row r="107" spans="2:10" x14ac:dyDescent="0.25">
      <c r="B107" s="254" t="s">
        <v>16</v>
      </c>
      <c r="C107" s="255">
        <f>SUM(C104:C106)</f>
        <v>0</v>
      </c>
      <c r="D107" s="255">
        <f>SUM(D104:D106)</f>
        <v>0</v>
      </c>
      <c r="E107" s="255" t="e">
        <f>+D107/C107</f>
        <v>#DIV/0!</v>
      </c>
      <c r="G107" s="240" t="s">
        <v>16</v>
      </c>
      <c r="H107" s="241">
        <f>SUM(H104:H106)</f>
        <v>3</v>
      </c>
      <c r="I107" s="241">
        <f>SUM(I104:I106)</f>
        <v>351</v>
      </c>
      <c r="J107" s="242">
        <f>+I107/H107</f>
        <v>117</v>
      </c>
    </row>
    <row r="108" spans="2:10" x14ac:dyDescent="0.25">
      <c r="B108" s="228" t="s">
        <v>17</v>
      </c>
      <c r="C108" s="229"/>
      <c r="D108" s="231"/>
      <c r="E108" s="229">
        <v>0</v>
      </c>
      <c r="G108" s="230" t="s">
        <v>17</v>
      </c>
      <c r="H108" s="229"/>
      <c r="I108" s="229"/>
      <c r="J108" s="229">
        <v>0</v>
      </c>
    </row>
    <row r="109" spans="2:10" x14ac:dyDescent="0.25">
      <c r="B109" s="228" t="s">
        <v>18</v>
      </c>
      <c r="C109" s="229"/>
      <c r="D109" s="231"/>
      <c r="E109" s="229" t="e">
        <f>D109/C109</f>
        <v>#DIV/0!</v>
      </c>
      <c r="G109" s="230" t="s">
        <v>18</v>
      </c>
      <c r="H109" s="229"/>
      <c r="I109" s="229"/>
      <c r="J109" s="229" t="e">
        <f>I109/H109</f>
        <v>#DIV/0!</v>
      </c>
    </row>
    <row r="110" spans="2:10" x14ac:dyDescent="0.25">
      <c r="B110" s="228" t="s">
        <v>159</v>
      </c>
      <c r="C110" s="229"/>
      <c r="D110" s="231"/>
      <c r="E110" s="229"/>
      <c r="G110" s="230" t="s">
        <v>159</v>
      </c>
      <c r="H110" s="229"/>
      <c r="I110" s="229"/>
      <c r="J110" s="229"/>
    </row>
    <row r="111" spans="2:10" x14ac:dyDescent="0.25">
      <c r="B111" s="254" t="s">
        <v>160</v>
      </c>
      <c r="C111" s="255">
        <f>SUM(C108:C110)</f>
        <v>0</v>
      </c>
      <c r="D111" s="255">
        <f>SUM(D108:D110)</f>
        <v>0</v>
      </c>
      <c r="E111" s="255" t="e">
        <f>SUM(E108:E110)</f>
        <v>#DIV/0!</v>
      </c>
      <c r="G111" s="240" t="s">
        <v>160</v>
      </c>
      <c r="H111" s="241">
        <f>SUM(H108:H110)</f>
        <v>0</v>
      </c>
      <c r="I111" s="241">
        <f>SUM(I108:I110)</f>
        <v>0</v>
      </c>
      <c r="J111" s="242" t="e">
        <f>SUM(J108:J110)</f>
        <v>#DIV/0!</v>
      </c>
    </row>
    <row r="112" spans="2:10" x14ac:dyDescent="0.25">
      <c r="B112" s="228" t="s">
        <v>161</v>
      </c>
      <c r="C112" s="229"/>
      <c r="D112" s="231"/>
      <c r="E112" s="229"/>
      <c r="G112" s="230" t="s">
        <v>161</v>
      </c>
      <c r="H112" s="229"/>
      <c r="I112" s="229"/>
      <c r="J112" s="229"/>
    </row>
    <row r="113" spans="2:10" x14ac:dyDescent="0.25">
      <c r="B113" s="228" t="s">
        <v>162</v>
      </c>
      <c r="C113" s="229"/>
      <c r="D113" s="231"/>
      <c r="E113" s="229"/>
      <c r="G113" s="230" t="s">
        <v>162</v>
      </c>
      <c r="H113" s="229">
        <f>+'[9]Cruise Ships'!M36</f>
        <v>1</v>
      </c>
      <c r="I113" s="229">
        <f>+'[9]Cruise Ships'!M37</f>
        <v>64</v>
      </c>
      <c r="J113" s="229">
        <f>+'[9]Cruise Ships'!M38</f>
        <v>91</v>
      </c>
    </row>
    <row r="114" spans="2:10" x14ac:dyDescent="0.25">
      <c r="B114" s="228" t="s">
        <v>163</v>
      </c>
      <c r="C114" s="229"/>
      <c r="D114" s="232"/>
      <c r="E114" s="229"/>
      <c r="G114" s="230" t="s">
        <v>163</v>
      </c>
      <c r="H114" s="229">
        <f>+'[9]Cruise Ships'!N36</f>
        <v>6</v>
      </c>
      <c r="I114" s="229">
        <f>+'[9]Cruise Ships'!N37</f>
        <v>690</v>
      </c>
      <c r="J114" s="229">
        <f>+'[9]Cruise Ships'!N38</f>
        <v>553</v>
      </c>
    </row>
    <row r="115" spans="2:10" ht="15.75" thickBot="1" x14ac:dyDescent="0.3">
      <c r="B115" s="254" t="s">
        <v>164</v>
      </c>
      <c r="C115" s="255">
        <f>SUM(C112:C114)</f>
        <v>0</v>
      </c>
      <c r="D115" s="255">
        <f>SUM(D112:D114)</f>
        <v>0</v>
      </c>
      <c r="E115" s="255">
        <f>SUM(E112:E114)</f>
        <v>0</v>
      </c>
      <c r="G115" s="240" t="s">
        <v>164</v>
      </c>
      <c r="H115" s="241">
        <f>SUM(H112:H114)</f>
        <v>7</v>
      </c>
      <c r="I115" s="241">
        <f>SUM(I112:I114)</f>
        <v>754</v>
      </c>
      <c r="J115" s="241">
        <f>SUM(J112:J114)</f>
        <v>644</v>
      </c>
    </row>
    <row r="116" spans="2:10" ht="15.75" thickBot="1" x14ac:dyDescent="0.3">
      <c r="B116" s="236" t="s">
        <v>7</v>
      </c>
      <c r="C116" s="225">
        <f>C103+C107+C111+C115</f>
        <v>10</v>
      </c>
      <c r="D116" s="225">
        <f>D103+D107+D111+D115</f>
        <v>1213</v>
      </c>
      <c r="E116" s="225" t="e">
        <f>E103+E107+E111+E115</f>
        <v>#DIV/0!</v>
      </c>
      <c r="G116" s="236" t="s">
        <v>7</v>
      </c>
      <c r="H116" s="225">
        <f>H103+H107+H111+H115</f>
        <v>21</v>
      </c>
      <c r="I116" s="225">
        <f>I103+I107+I111+I115</f>
        <v>2839</v>
      </c>
      <c r="J116" s="225" t="e">
        <f>J103+J107+J111+J115</f>
        <v>#DIV/0!</v>
      </c>
    </row>
    <row r="117" spans="2:10" ht="15.75" thickBot="1" x14ac:dyDescent="0.3">
      <c r="B117" s="237" t="s">
        <v>165</v>
      </c>
      <c r="C117" s="225">
        <f>C116/12</f>
        <v>0.83333333333333337</v>
      </c>
      <c r="D117" s="238">
        <f>D116/12</f>
        <v>101.08333333333333</v>
      </c>
      <c r="E117" s="225">
        <f>D117/C117</f>
        <v>121.29999999999998</v>
      </c>
      <c r="G117" s="237" t="s">
        <v>165</v>
      </c>
      <c r="H117" s="225">
        <f>H116/12</f>
        <v>1.75</v>
      </c>
      <c r="I117" s="238">
        <f>I116/12</f>
        <v>236.58333333333334</v>
      </c>
      <c r="J117" s="225">
        <f>I117/H117</f>
        <v>135.1904761904762</v>
      </c>
    </row>
    <row r="120" spans="2:10" x14ac:dyDescent="0.25">
      <c r="B120" s="355" t="s">
        <v>174</v>
      </c>
      <c r="C120" s="355"/>
      <c r="D120" s="355"/>
      <c r="E120" s="355"/>
      <c r="G120" s="355" t="s">
        <v>175</v>
      </c>
      <c r="H120" s="355"/>
      <c r="I120" s="355"/>
      <c r="J120" s="355"/>
    </row>
    <row r="121" spans="2:10" ht="15.75" thickBot="1" x14ac:dyDescent="0.3"/>
    <row r="122" spans="2:10" ht="30" thickBot="1" x14ac:dyDescent="0.3">
      <c r="B122" s="225" t="s">
        <v>25</v>
      </c>
      <c r="C122" s="225" t="s">
        <v>153</v>
      </c>
      <c r="D122" s="226" t="s">
        <v>154</v>
      </c>
      <c r="E122" s="226" t="s">
        <v>155</v>
      </c>
      <c r="G122" s="225" t="s">
        <v>25</v>
      </c>
      <c r="H122" s="225" t="s">
        <v>153</v>
      </c>
      <c r="I122" s="226" t="s">
        <v>154</v>
      </c>
      <c r="J122" s="226" t="s">
        <v>155</v>
      </c>
    </row>
    <row r="123" spans="2:10" x14ac:dyDescent="0.25">
      <c r="B123" s="228" t="s">
        <v>156</v>
      </c>
      <c r="C123" s="229"/>
      <c r="D123" s="229"/>
      <c r="E123" s="229" t="e">
        <f>D123/C123</f>
        <v>#DIV/0!</v>
      </c>
      <c r="G123" s="230" t="s">
        <v>156</v>
      </c>
      <c r="H123" s="229"/>
      <c r="I123" s="229"/>
      <c r="J123" s="229" t="e">
        <f>I123/H123</f>
        <v>#DIV/0!</v>
      </c>
    </row>
    <row r="124" spans="2:10" x14ac:dyDescent="0.25">
      <c r="B124" s="228" t="s">
        <v>157</v>
      </c>
      <c r="C124" s="229"/>
      <c r="D124" s="229"/>
      <c r="E124" s="229" t="e">
        <f>D124/C124</f>
        <v>#DIV/0!</v>
      </c>
      <c r="G124" s="230" t="s">
        <v>157</v>
      </c>
      <c r="H124" s="229"/>
      <c r="I124" s="229"/>
      <c r="J124" s="229" t="e">
        <f>I124/H124</f>
        <v>#DIV/0!</v>
      </c>
    </row>
    <row r="125" spans="2:10" x14ac:dyDescent="0.25">
      <c r="B125" s="228" t="s">
        <v>11</v>
      </c>
      <c r="C125" s="229">
        <f>+'[9]Cruise Ships'!E40</f>
        <v>4</v>
      </c>
      <c r="D125" s="229">
        <f>+'[9]Cruise Ships'!E41</f>
        <v>693</v>
      </c>
      <c r="E125" s="229">
        <f>D125/C125</f>
        <v>173.25</v>
      </c>
      <c r="G125" s="230" t="s">
        <v>11</v>
      </c>
      <c r="H125" s="229"/>
      <c r="I125" s="229"/>
      <c r="J125" s="229" t="e">
        <f>I125/H125</f>
        <v>#DIV/0!</v>
      </c>
    </row>
    <row r="126" spans="2:10" x14ac:dyDescent="0.25">
      <c r="B126" s="254" t="s">
        <v>158</v>
      </c>
      <c r="C126" s="255">
        <f>SUM(C123:C125)</f>
        <v>4</v>
      </c>
      <c r="D126" s="255">
        <f>SUM(D123:D125)</f>
        <v>693</v>
      </c>
      <c r="E126" s="255">
        <f>+D126/C126</f>
        <v>173.25</v>
      </c>
      <c r="G126" s="240" t="s">
        <v>158</v>
      </c>
      <c r="H126" s="241">
        <f>SUM(H123:H125)</f>
        <v>0</v>
      </c>
      <c r="I126" s="241">
        <f>SUM(I123:I125)</f>
        <v>0</v>
      </c>
      <c r="J126" s="241" t="e">
        <f>+I126/H126</f>
        <v>#DIV/0!</v>
      </c>
    </row>
    <row r="127" spans="2:10" x14ac:dyDescent="0.25">
      <c r="B127" s="228" t="s">
        <v>13</v>
      </c>
      <c r="C127" s="229"/>
      <c r="D127" s="229"/>
      <c r="E127" s="229" t="e">
        <f>D127/C127</f>
        <v>#DIV/0!</v>
      </c>
      <c r="G127" s="230" t="s">
        <v>13</v>
      </c>
      <c r="H127" s="229"/>
      <c r="I127" s="229"/>
      <c r="J127" s="229" t="e">
        <f>I127/H127</f>
        <v>#DIV/0!</v>
      </c>
    </row>
    <row r="128" spans="2:10" x14ac:dyDescent="0.25">
      <c r="B128" s="228" t="s">
        <v>14</v>
      </c>
      <c r="C128" s="229"/>
      <c r="D128" s="229"/>
      <c r="E128" s="229" t="e">
        <f>D128/C128</f>
        <v>#DIV/0!</v>
      </c>
      <c r="G128" s="230" t="s">
        <v>14</v>
      </c>
      <c r="H128" s="229"/>
      <c r="I128" s="229"/>
      <c r="J128" s="229" t="e">
        <f>I128/H128</f>
        <v>#DIV/0!</v>
      </c>
    </row>
    <row r="129" spans="2:10" x14ac:dyDescent="0.25">
      <c r="B129" s="228" t="s">
        <v>15</v>
      </c>
      <c r="C129" s="229"/>
      <c r="D129" s="229"/>
      <c r="E129" s="229">
        <v>0</v>
      </c>
      <c r="G129" s="230" t="s">
        <v>15</v>
      </c>
      <c r="H129" s="229"/>
      <c r="I129" s="229"/>
      <c r="J129" s="229">
        <v>0</v>
      </c>
    </row>
    <row r="130" spans="2:10" x14ac:dyDescent="0.25">
      <c r="B130" s="254" t="s">
        <v>16</v>
      </c>
      <c r="C130" s="255">
        <f>SUM(C127:C129)</f>
        <v>0</v>
      </c>
      <c r="D130" s="255">
        <f>SUM(D127:D129)</f>
        <v>0</v>
      </c>
      <c r="E130" s="255" t="e">
        <f>+D130/C130</f>
        <v>#DIV/0!</v>
      </c>
      <c r="G130" s="240" t="s">
        <v>16</v>
      </c>
      <c r="H130" s="241">
        <f>SUM(H127:H129)</f>
        <v>0</v>
      </c>
      <c r="I130" s="241">
        <f>SUM(I127:I129)</f>
        <v>0</v>
      </c>
      <c r="J130" s="242" t="e">
        <f>+I130/H130</f>
        <v>#DIV/0!</v>
      </c>
    </row>
    <row r="131" spans="2:10" x14ac:dyDescent="0.25">
      <c r="B131" s="228" t="s">
        <v>17</v>
      </c>
      <c r="C131" s="229"/>
      <c r="D131" s="231"/>
      <c r="E131" s="229">
        <v>0</v>
      </c>
      <c r="G131" s="230" t="s">
        <v>17</v>
      </c>
      <c r="H131" s="229"/>
      <c r="I131" s="229"/>
      <c r="J131" s="229">
        <v>0</v>
      </c>
    </row>
    <row r="132" spans="2:10" x14ac:dyDescent="0.25">
      <c r="B132" s="228" t="s">
        <v>18</v>
      </c>
      <c r="C132" s="229"/>
      <c r="D132" s="231"/>
      <c r="E132" s="229" t="e">
        <f>D132/C132</f>
        <v>#DIV/0!</v>
      </c>
      <c r="G132" s="230" t="s">
        <v>18</v>
      </c>
      <c r="H132" s="229"/>
      <c r="I132" s="229"/>
      <c r="J132" s="229" t="e">
        <f>I132/H132</f>
        <v>#DIV/0!</v>
      </c>
    </row>
    <row r="133" spans="2:10" x14ac:dyDescent="0.25">
      <c r="B133" s="228" t="s">
        <v>159</v>
      </c>
      <c r="C133" s="229"/>
      <c r="D133" s="231"/>
      <c r="E133" s="229"/>
      <c r="G133" s="230" t="s">
        <v>159</v>
      </c>
      <c r="H133" s="229"/>
      <c r="I133" s="229"/>
      <c r="J133" s="229"/>
    </row>
    <row r="134" spans="2:10" x14ac:dyDescent="0.25">
      <c r="B134" s="254" t="s">
        <v>160</v>
      </c>
      <c r="C134" s="255">
        <f>SUM(C131:C133)</f>
        <v>0</v>
      </c>
      <c r="D134" s="255">
        <f>SUM(D131:D133)</f>
        <v>0</v>
      </c>
      <c r="E134" s="255" t="e">
        <f>SUM(E131:E133)</f>
        <v>#DIV/0!</v>
      </c>
      <c r="G134" s="240" t="s">
        <v>160</v>
      </c>
      <c r="H134" s="241">
        <f>SUM(H131:H133)</f>
        <v>0</v>
      </c>
      <c r="I134" s="241">
        <f>SUM(I131:I133)</f>
        <v>0</v>
      </c>
      <c r="J134" s="242" t="e">
        <f>SUM(J131:J133)</f>
        <v>#DIV/0!</v>
      </c>
    </row>
    <row r="135" spans="2:10" x14ac:dyDescent="0.25">
      <c r="B135" s="228" t="s">
        <v>161</v>
      </c>
      <c r="C135" s="229"/>
      <c r="D135" s="231"/>
      <c r="E135" s="229"/>
      <c r="G135" s="230" t="s">
        <v>161</v>
      </c>
      <c r="H135" s="229"/>
      <c r="I135" s="229"/>
      <c r="J135" s="229"/>
    </row>
    <row r="136" spans="2:10" x14ac:dyDescent="0.25">
      <c r="B136" s="228" t="s">
        <v>162</v>
      </c>
      <c r="C136" s="229"/>
      <c r="D136" s="231"/>
      <c r="E136" s="229" t="e">
        <f>+'[9]Cruise Ships'!H64</f>
        <v>#REF!</v>
      </c>
      <c r="G136" s="230" t="s">
        <v>162</v>
      </c>
      <c r="H136" s="229"/>
      <c r="I136" s="229"/>
      <c r="J136" s="229" t="e">
        <f>+'[9]Cruise Ships'!M64</f>
        <v>#REF!</v>
      </c>
    </row>
    <row r="137" spans="2:10" x14ac:dyDescent="0.25">
      <c r="B137" s="228" t="s">
        <v>163</v>
      </c>
      <c r="C137" s="229"/>
      <c r="D137" s="232"/>
      <c r="E137" s="229" t="e">
        <f>+'[9]Cruise Ships'!I64</f>
        <v>#REF!</v>
      </c>
      <c r="G137" s="230" t="s">
        <v>163</v>
      </c>
      <c r="H137" s="229"/>
      <c r="I137" s="229"/>
      <c r="J137" s="229" t="e">
        <f>+'[9]Cruise Ships'!N64</f>
        <v>#REF!</v>
      </c>
    </row>
    <row r="138" spans="2:10" ht="15.75" thickBot="1" x14ac:dyDescent="0.3">
      <c r="B138" s="254" t="s">
        <v>164</v>
      </c>
      <c r="C138" s="255">
        <f>SUM(C135:C137)</f>
        <v>0</v>
      </c>
      <c r="D138" s="255">
        <f>SUM(D135:D137)</f>
        <v>0</v>
      </c>
      <c r="E138" s="255" t="e">
        <f>SUM(E135:E137)</f>
        <v>#REF!</v>
      </c>
      <c r="G138" s="240" t="s">
        <v>164</v>
      </c>
      <c r="H138" s="241">
        <f>SUM(H135:H137)</f>
        <v>0</v>
      </c>
      <c r="I138" s="241">
        <f>SUM(I135:I137)</f>
        <v>0</v>
      </c>
      <c r="J138" s="241" t="e">
        <f>SUM(J135:J137)</f>
        <v>#REF!</v>
      </c>
    </row>
    <row r="139" spans="2:10" ht="15.75" thickBot="1" x14ac:dyDescent="0.3">
      <c r="B139" s="236" t="s">
        <v>7</v>
      </c>
      <c r="C139" s="225">
        <f>C126+C130+C134+C138</f>
        <v>4</v>
      </c>
      <c r="D139" s="225">
        <f>D126+D130+D134+D138</f>
        <v>693</v>
      </c>
      <c r="E139" s="225" t="e">
        <f>E126+E130+E134+E138</f>
        <v>#DIV/0!</v>
      </c>
      <c r="G139" s="236" t="s">
        <v>7</v>
      </c>
      <c r="H139" s="225">
        <f>H126+H130+H134+H138</f>
        <v>0</v>
      </c>
      <c r="I139" s="225">
        <f>I126+I130+I134+I138</f>
        <v>0</v>
      </c>
      <c r="J139" s="225" t="e">
        <f>J126+J130+J134+J138</f>
        <v>#DIV/0!</v>
      </c>
    </row>
    <row r="140" spans="2:10" ht="15.75" thickBot="1" x14ac:dyDescent="0.3">
      <c r="B140" s="237" t="s">
        <v>165</v>
      </c>
      <c r="C140" s="225">
        <f>C139/12</f>
        <v>0.33333333333333331</v>
      </c>
      <c r="D140" s="238">
        <f>D139/12</f>
        <v>57.75</v>
      </c>
      <c r="E140" s="225">
        <f>D140/C140</f>
        <v>173.25</v>
      </c>
      <c r="G140" s="237" t="s">
        <v>165</v>
      </c>
      <c r="H140" s="225">
        <f>H139/12</f>
        <v>0</v>
      </c>
      <c r="I140" s="238">
        <f>I139/12</f>
        <v>0</v>
      </c>
      <c r="J140" s="225" t="e">
        <f>I140/H140</f>
        <v>#DIV/0!</v>
      </c>
    </row>
    <row r="143" spans="2:10" x14ac:dyDescent="0.25">
      <c r="B143" s="355" t="s">
        <v>184</v>
      </c>
      <c r="C143" s="355"/>
      <c r="D143" s="355"/>
      <c r="E143" s="355"/>
      <c r="G143" s="355" t="s">
        <v>186</v>
      </c>
      <c r="H143" s="355"/>
      <c r="I143" s="355"/>
      <c r="J143" s="355"/>
    </row>
    <row r="144" spans="2:10" ht="15.75" thickBot="1" x14ac:dyDescent="0.3"/>
    <row r="145" spans="2:10" ht="30" thickBot="1" x14ac:dyDescent="0.3">
      <c r="B145" s="225" t="s">
        <v>25</v>
      </c>
      <c r="C145" s="225" t="s">
        <v>153</v>
      </c>
      <c r="D145" s="226" t="s">
        <v>154</v>
      </c>
      <c r="E145" s="226" t="s">
        <v>155</v>
      </c>
      <c r="G145" s="225" t="s">
        <v>25</v>
      </c>
      <c r="H145" s="225" t="s">
        <v>153</v>
      </c>
      <c r="I145" s="226" t="s">
        <v>154</v>
      </c>
      <c r="J145" s="226" t="s">
        <v>155</v>
      </c>
    </row>
    <row r="146" spans="2:10" x14ac:dyDescent="0.25">
      <c r="B146" s="230" t="s">
        <v>156</v>
      </c>
      <c r="C146" s="229">
        <f>+'Cruise Ships'!C48</f>
        <v>11</v>
      </c>
      <c r="D146" s="229">
        <f>+'Cruise Ships'!C49</f>
        <v>1720</v>
      </c>
      <c r="E146" s="229">
        <f>D146/C146</f>
        <v>156.36363636363637</v>
      </c>
      <c r="G146" s="230" t="s">
        <v>156</v>
      </c>
      <c r="H146" s="229">
        <f>+'Cruise Ships'!C52</f>
        <v>8</v>
      </c>
      <c r="I146" s="229">
        <f>+'Cruise Ships'!C53</f>
        <v>1136</v>
      </c>
      <c r="J146" s="229">
        <f>I146/H146</f>
        <v>142</v>
      </c>
    </row>
    <row r="147" spans="2:10" x14ac:dyDescent="0.25">
      <c r="B147" s="230" t="s">
        <v>157</v>
      </c>
      <c r="C147" s="229">
        <f>+'Cruise Ships'!D48</f>
        <v>8</v>
      </c>
      <c r="D147" s="229">
        <f>+'Cruise Ships'!D49</f>
        <v>1262</v>
      </c>
      <c r="E147" s="229">
        <f>D147/C147</f>
        <v>157.75</v>
      </c>
      <c r="G147" s="230" t="s">
        <v>157</v>
      </c>
      <c r="H147" s="229">
        <f>+'Cruise Ships'!D52</f>
        <v>6</v>
      </c>
      <c r="I147" s="229">
        <f>+'Cruise Ships'!D53</f>
        <v>674</v>
      </c>
      <c r="J147" s="229">
        <f>I147/H147</f>
        <v>112.33333333333333</v>
      </c>
    </row>
    <row r="148" spans="2:10" x14ac:dyDescent="0.25">
      <c r="B148" s="230" t="s">
        <v>11</v>
      </c>
      <c r="C148" s="229">
        <f>+'Cruise Ships'!E48</f>
        <v>11</v>
      </c>
      <c r="D148" s="229">
        <f>+'Cruise Ships'!E49</f>
        <v>1256</v>
      </c>
      <c r="E148" s="229">
        <f>D148/C148</f>
        <v>114.18181818181819</v>
      </c>
      <c r="G148" s="230" t="s">
        <v>11</v>
      </c>
      <c r="H148" s="229">
        <f>+'Cruise Ships'!E52</f>
        <v>5</v>
      </c>
      <c r="I148" s="229">
        <f>+'Cruise Ships'!E53</f>
        <v>790</v>
      </c>
      <c r="J148" s="229">
        <f>I148/H148</f>
        <v>158</v>
      </c>
    </row>
    <row r="149" spans="2:10" x14ac:dyDescent="0.25">
      <c r="B149" s="240" t="s">
        <v>158</v>
      </c>
      <c r="C149" s="241">
        <f>SUM(C146:C148)</f>
        <v>30</v>
      </c>
      <c r="D149" s="241">
        <f>SUM(D146:D148)</f>
        <v>4238</v>
      </c>
      <c r="E149" s="241">
        <f>+D149/C149</f>
        <v>141.26666666666668</v>
      </c>
      <c r="G149" s="240" t="s">
        <v>158</v>
      </c>
      <c r="H149" s="241">
        <f>SUM(H146:H148)</f>
        <v>19</v>
      </c>
      <c r="I149" s="241">
        <f>SUM(I146:I148)</f>
        <v>2600</v>
      </c>
      <c r="J149" s="241">
        <f>+I149/H149</f>
        <v>136.84210526315789</v>
      </c>
    </row>
    <row r="150" spans="2:10" x14ac:dyDescent="0.25">
      <c r="B150" s="230" t="s">
        <v>13</v>
      </c>
      <c r="C150" s="229">
        <f>+'Cruise Ships'!F48</f>
        <v>1</v>
      </c>
      <c r="D150" s="229">
        <f>+'Cruise Ships'!F49</f>
        <v>71</v>
      </c>
      <c r="E150" s="229">
        <f>D150/C150</f>
        <v>71</v>
      </c>
      <c r="G150" s="230" t="s">
        <v>13</v>
      </c>
      <c r="H150" s="229">
        <f>+'Cruise Ships'!F52</f>
        <v>1</v>
      </c>
      <c r="I150" s="229">
        <f>+'Cruise Ships'!F53</f>
        <v>101</v>
      </c>
      <c r="J150" s="229">
        <f>I150/H150</f>
        <v>101</v>
      </c>
    </row>
    <row r="151" spans="2:10" x14ac:dyDescent="0.25">
      <c r="B151" s="230" t="s">
        <v>14</v>
      </c>
      <c r="C151" s="229">
        <f>+'Cruise Ships'!G48</f>
        <v>0</v>
      </c>
      <c r="D151" s="229">
        <f>+'Cruise Ships'!G49</f>
        <v>0</v>
      </c>
      <c r="E151" s="229">
        <v>0</v>
      </c>
      <c r="G151" s="230" t="s">
        <v>14</v>
      </c>
      <c r="H151" s="229"/>
      <c r="I151" s="229"/>
      <c r="J151" s="229">
        <v>0</v>
      </c>
    </row>
    <row r="152" spans="2:10" x14ac:dyDescent="0.25">
      <c r="B152" s="230" t="s">
        <v>15</v>
      </c>
      <c r="C152" s="229">
        <f>+'Cruise Ships'!H48</f>
        <v>0</v>
      </c>
      <c r="D152" s="229">
        <f>+'Cruise Ships'!H49</f>
        <v>0</v>
      </c>
      <c r="E152" s="229">
        <v>0</v>
      </c>
      <c r="G152" s="230" t="s">
        <v>15</v>
      </c>
      <c r="H152" s="229"/>
      <c r="I152" s="229"/>
      <c r="J152" s="229">
        <v>0</v>
      </c>
    </row>
    <row r="153" spans="2:10" x14ac:dyDescent="0.25">
      <c r="B153" s="240" t="s">
        <v>16</v>
      </c>
      <c r="C153" s="241">
        <f>SUM(C150:C152)</f>
        <v>1</v>
      </c>
      <c r="D153" s="241">
        <f>SUM(D150:D152)</f>
        <v>71</v>
      </c>
      <c r="E153" s="242">
        <f>+D153/C153</f>
        <v>71</v>
      </c>
      <c r="G153" s="240" t="s">
        <v>16</v>
      </c>
      <c r="H153" s="241">
        <f>SUM(H150:H152)</f>
        <v>1</v>
      </c>
      <c r="I153" s="241">
        <f>SUM(I150:I152)</f>
        <v>101</v>
      </c>
      <c r="J153" s="242">
        <f>+I153/H153</f>
        <v>101</v>
      </c>
    </row>
    <row r="154" spans="2:10" x14ac:dyDescent="0.25">
      <c r="B154" s="230" t="s">
        <v>17</v>
      </c>
      <c r="C154" s="229">
        <f>+'Cruise Ships'!I48</f>
        <v>0</v>
      </c>
      <c r="D154" s="229">
        <f>+'Cruise Ships'!I49</f>
        <v>0</v>
      </c>
      <c r="E154" s="229">
        <v>0</v>
      </c>
      <c r="G154" s="230" t="s">
        <v>17</v>
      </c>
      <c r="H154" s="229"/>
      <c r="I154" s="229"/>
      <c r="J154" s="229">
        <v>0</v>
      </c>
    </row>
    <row r="155" spans="2:10" x14ac:dyDescent="0.25">
      <c r="B155" s="230" t="s">
        <v>18</v>
      </c>
      <c r="C155" s="229">
        <f>+'Cruise Ships'!J48</f>
        <v>0</v>
      </c>
      <c r="D155" s="229">
        <f>+'Cruise Ships'!J49</f>
        <v>0</v>
      </c>
      <c r="E155" s="229">
        <v>0</v>
      </c>
      <c r="G155" s="230" t="s">
        <v>18</v>
      </c>
      <c r="H155" s="229"/>
      <c r="I155" s="229"/>
      <c r="J155" s="229">
        <v>0</v>
      </c>
    </row>
    <row r="156" spans="2:10" x14ac:dyDescent="0.25">
      <c r="B156" s="230" t="s">
        <v>159</v>
      </c>
      <c r="C156" s="229">
        <f>+'Cruise Ships'!K48</f>
        <v>0</v>
      </c>
      <c r="D156" s="229">
        <f>+'Cruise Ships'!K49</f>
        <v>0</v>
      </c>
      <c r="E156" s="229">
        <v>0</v>
      </c>
      <c r="G156" s="230" t="s">
        <v>159</v>
      </c>
      <c r="H156" s="229"/>
      <c r="I156" s="229"/>
      <c r="J156" s="229">
        <v>0</v>
      </c>
    </row>
    <row r="157" spans="2:10" x14ac:dyDescent="0.25">
      <c r="B157" s="240" t="s">
        <v>160</v>
      </c>
      <c r="C157" s="241">
        <f>SUM(C154:C156)</f>
        <v>0</v>
      </c>
      <c r="D157" s="241">
        <f>SUM(D154:D156)</f>
        <v>0</v>
      </c>
      <c r="E157" s="242">
        <f>SUM(E154:E156)</f>
        <v>0</v>
      </c>
      <c r="G157" s="240" t="s">
        <v>160</v>
      </c>
      <c r="H157" s="241">
        <f>SUM(H154:H156)</f>
        <v>0</v>
      </c>
      <c r="I157" s="241">
        <f>SUM(I154:I156)</f>
        <v>0</v>
      </c>
      <c r="J157" s="242">
        <f>SUM(J154:J156)</f>
        <v>0</v>
      </c>
    </row>
    <row r="158" spans="2:10" x14ac:dyDescent="0.25">
      <c r="B158" s="230" t="s">
        <v>161</v>
      </c>
      <c r="C158" s="229">
        <f>+'Cruise Ships'!L48</f>
        <v>0</v>
      </c>
      <c r="D158" s="229">
        <f>+'Cruise Ships'!L49</f>
        <v>0</v>
      </c>
      <c r="E158" s="229">
        <v>0</v>
      </c>
      <c r="G158" s="230" t="s">
        <v>161</v>
      </c>
      <c r="H158" s="229"/>
      <c r="I158" s="229"/>
      <c r="J158" s="229">
        <v>0</v>
      </c>
    </row>
    <row r="159" spans="2:10" x14ac:dyDescent="0.25">
      <c r="B159" s="230" t="s">
        <v>162</v>
      </c>
      <c r="C159" s="229">
        <f>+'Cruise Ships'!M48</f>
        <v>6</v>
      </c>
      <c r="D159" s="229">
        <f>+'Cruise Ships'!M49</f>
        <v>1462</v>
      </c>
      <c r="E159" s="229">
        <f>D159/C159</f>
        <v>243.66666666666666</v>
      </c>
      <c r="G159" s="230" t="s">
        <v>162</v>
      </c>
      <c r="H159" s="229">
        <f>+'Cruise Ships'!M52</f>
        <v>1</v>
      </c>
      <c r="I159" s="229">
        <f>+'Cruise Ships'!M53</f>
        <v>106</v>
      </c>
      <c r="J159" s="229">
        <f>I159/H159</f>
        <v>106</v>
      </c>
    </row>
    <row r="160" spans="2:10" x14ac:dyDescent="0.25">
      <c r="B160" s="230" t="s">
        <v>163</v>
      </c>
      <c r="C160" s="229">
        <f>+'Cruise Ships'!N48</f>
        <v>7</v>
      </c>
      <c r="D160" s="229">
        <f>+'Cruise Ships'!N49</f>
        <v>1046</v>
      </c>
      <c r="E160" s="229">
        <v>0</v>
      </c>
      <c r="G160" s="230" t="s">
        <v>163</v>
      </c>
      <c r="H160" s="229">
        <f>+'Cruise Ships'!N52</f>
        <v>4</v>
      </c>
      <c r="I160" s="229">
        <f>+'Cruise Ships'!N53</f>
        <v>493</v>
      </c>
      <c r="J160" s="229">
        <v>0</v>
      </c>
    </row>
    <row r="161" spans="2:10" ht="15.75" thickBot="1" x14ac:dyDescent="0.3">
      <c r="B161" s="240" t="s">
        <v>164</v>
      </c>
      <c r="C161" s="241">
        <f>SUM(C158:C160)</f>
        <v>13</v>
      </c>
      <c r="D161" s="241">
        <f>SUM(D158:D160)</f>
        <v>2508</v>
      </c>
      <c r="E161" s="241">
        <f>SUM(E158:E160)</f>
        <v>243.66666666666666</v>
      </c>
      <c r="G161" s="240" t="s">
        <v>164</v>
      </c>
      <c r="H161" s="241">
        <f>SUM(H158:H160)</f>
        <v>5</v>
      </c>
      <c r="I161" s="241">
        <f>SUM(I158:I160)</f>
        <v>599</v>
      </c>
      <c r="J161" s="241">
        <f>SUM(J158:J160)</f>
        <v>106</v>
      </c>
    </row>
    <row r="162" spans="2:10" ht="15.75" thickBot="1" x14ac:dyDescent="0.3">
      <c r="B162" s="236" t="s">
        <v>7</v>
      </c>
      <c r="C162" s="225">
        <f>C149+C153+C157+C161</f>
        <v>44</v>
      </c>
      <c r="D162" s="225">
        <f>D149+D153+D157+D161</f>
        <v>6817</v>
      </c>
      <c r="E162" s="225">
        <f>E149+E153+E157+E161</f>
        <v>455.93333333333334</v>
      </c>
      <c r="G162" s="236" t="s">
        <v>7</v>
      </c>
      <c r="H162" s="225">
        <f>H149+H153+H157+H161</f>
        <v>25</v>
      </c>
      <c r="I162" s="225">
        <f>I149+I153+I157+I161</f>
        <v>3300</v>
      </c>
      <c r="J162" s="225">
        <f>J149+J153+J157+J161</f>
        <v>343.84210526315792</v>
      </c>
    </row>
    <row r="163" spans="2:10" ht="15.75" thickBot="1" x14ac:dyDescent="0.3">
      <c r="B163" s="237" t="s">
        <v>165</v>
      </c>
      <c r="C163" s="225">
        <f>C162/12</f>
        <v>3.6666666666666665</v>
      </c>
      <c r="D163" s="238">
        <f>D162/12</f>
        <v>568.08333333333337</v>
      </c>
      <c r="E163" s="225">
        <f>D163/C163</f>
        <v>154.93181818181819</v>
      </c>
      <c r="G163" s="237" t="s">
        <v>165</v>
      </c>
      <c r="H163" s="225">
        <f>H162/12</f>
        <v>2.0833333333333335</v>
      </c>
      <c r="I163" s="238">
        <f>I162/12</f>
        <v>275</v>
      </c>
      <c r="J163" s="225">
        <f>I163/H163</f>
        <v>132</v>
      </c>
    </row>
    <row r="166" spans="2:10" x14ac:dyDescent="0.25">
      <c r="B166" s="355" t="s">
        <v>190</v>
      </c>
      <c r="C166" s="355"/>
      <c r="D166" s="355"/>
      <c r="E166" s="355"/>
    </row>
    <row r="167" spans="2:10" ht="15.75" thickBot="1" x14ac:dyDescent="0.3"/>
    <row r="168" spans="2:10" ht="30" thickBot="1" x14ac:dyDescent="0.3">
      <c r="B168" s="225" t="s">
        <v>25</v>
      </c>
      <c r="C168" s="225" t="s">
        <v>153</v>
      </c>
      <c r="D168" s="226" t="s">
        <v>154</v>
      </c>
      <c r="E168" s="226" t="s">
        <v>155</v>
      </c>
    </row>
    <row r="169" spans="2:10" x14ac:dyDescent="0.25">
      <c r="B169" s="230" t="s">
        <v>156</v>
      </c>
      <c r="C169" s="229">
        <f>+'Cruise Ships'!C56</f>
        <v>4</v>
      </c>
      <c r="D169" s="229">
        <f>+'Cruise Ships'!C57</f>
        <v>747</v>
      </c>
      <c r="E169" s="229">
        <f>D169/C169</f>
        <v>186.75</v>
      </c>
    </row>
    <row r="170" spans="2:10" x14ac:dyDescent="0.25">
      <c r="B170" s="230" t="s">
        <v>157</v>
      </c>
      <c r="C170" s="229">
        <f>+'Cruise Ships'!D56</f>
        <v>7</v>
      </c>
      <c r="D170" s="229">
        <f>+'Cruise Ships'!D57</f>
        <v>1215</v>
      </c>
      <c r="E170" s="229">
        <f>D170/C170</f>
        <v>173.57142857142858</v>
      </c>
    </row>
    <row r="171" spans="2:10" x14ac:dyDescent="0.25">
      <c r="B171" s="230" t="s">
        <v>11</v>
      </c>
      <c r="C171" s="229">
        <f>+'Cruise Ships'!E56</f>
        <v>0</v>
      </c>
      <c r="D171" s="229">
        <f>+'Cruise Ships'!E57</f>
        <v>0</v>
      </c>
      <c r="E171" s="229" t="e">
        <f>D171/C171</f>
        <v>#DIV/0!</v>
      </c>
    </row>
    <row r="172" spans="2:10" x14ac:dyDescent="0.25">
      <c r="B172" s="240" t="s">
        <v>158</v>
      </c>
      <c r="C172" s="241">
        <f>SUM(C169:C171)</f>
        <v>11</v>
      </c>
      <c r="D172" s="241">
        <f>SUM(D169:D171)</f>
        <v>1962</v>
      </c>
      <c r="E172" s="241">
        <f>+D172/C172</f>
        <v>178.36363636363637</v>
      </c>
    </row>
    <row r="173" spans="2:10" x14ac:dyDescent="0.25">
      <c r="B173" s="230" t="s">
        <v>13</v>
      </c>
      <c r="C173" s="229">
        <f>+'Cruise Ships'!F56</f>
        <v>2</v>
      </c>
      <c r="D173" s="229">
        <f>+'Cruise Ships'!F57</f>
        <v>556</v>
      </c>
      <c r="E173" s="229">
        <f>D173/C173</f>
        <v>278</v>
      </c>
    </row>
    <row r="174" spans="2:10" x14ac:dyDescent="0.25">
      <c r="B174" s="230" t="s">
        <v>14</v>
      </c>
      <c r="C174" s="229">
        <f>+'Cruise Ships'!G56</f>
        <v>0</v>
      </c>
      <c r="D174" s="229">
        <f>+'Cruise Ships'!G57</f>
        <v>0</v>
      </c>
      <c r="E174" s="229">
        <v>0</v>
      </c>
    </row>
    <row r="175" spans="2:10" x14ac:dyDescent="0.25">
      <c r="B175" s="230" t="s">
        <v>15</v>
      </c>
      <c r="C175" s="229">
        <f>+'Cruise Ships'!H56</f>
        <v>0</v>
      </c>
      <c r="D175" s="229">
        <f>+'Cruise Ships'!H57</f>
        <v>0</v>
      </c>
      <c r="E175" s="229">
        <v>0</v>
      </c>
    </row>
    <row r="176" spans="2:10" x14ac:dyDescent="0.25">
      <c r="B176" s="240" t="s">
        <v>16</v>
      </c>
      <c r="C176" s="241">
        <f>SUM(C173:C175)</f>
        <v>2</v>
      </c>
      <c r="D176" s="241">
        <f>SUM(D173:D175)</f>
        <v>556</v>
      </c>
      <c r="E176" s="242">
        <f>+D176/C176</f>
        <v>278</v>
      </c>
    </row>
    <row r="177" spans="2:5" x14ac:dyDescent="0.25">
      <c r="B177" s="230" t="s">
        <v>17</v>
      </c>
      <c r="C177" s="229">
        <f>+'Cruise Ships'!I56</f>
        <v>0</v>
      </c>
      <c r="D177" s="229">
        <f>+'Cruise Ships'!I57</f>
        <v>0</v>
      </c>
      <c r="E177" s="229">
        <v>0</v>
      </c>
    </row>
    <row r="178" spans="2:5" x14ac:dyDescent="0.25">
      <c r="B178" s="230" t="s">
        <v>18</v>
      </c>
      <c r="C178" s="229">
        <f>+'Cruise Ships'!J56</f>
        <v>0</v>
      </c>
      <c r="D178" s="229">
        <f>+'Cruise Ships'!J57</f>
        <v>0</v>
      </c>
      <c r="E178" s="229">
        <v>0</v>
      </c>
    </row>
    <row r="179" spans="2:5" x14ac:dyDescent="0.25">
      <c r="B179" s="230" t="s">
        <v>159</v>
      </c>
      <c r="C179" s="229">
        <f>+'Cruise Ships'!K56</f>
        <v>0</v>
      </c>
      <c r="D179" s="229">
        <f>+'Cruise Ships'!K57</f>
        <v>0</v>
      </c>
      <c r="E179" s="229">
        <v>0</v>
      </c>
    </row>
    <row r="180" spans="2:5" x14ac:dyDescent="0.25">
      <c r="B180" s="240" t="s">
        <v>160</v>
      </c>
      <c r="C180" s="241">
        <f>SUM(C177:C179)</f>
        <v>0</v>
      </c>
      <c r="D180" s="241">
        <f>SUM(D177:D179)</f>
        <v>0</v>
      </c>
      <c r="E180" s="242">
        <f>SUM(E177:E179)</f>
        <v>0</v>
      </c>
    </row>
    <row r="181" spans="2:5" x14ac:dyDescent="0.25">
      <c r="B181" s="230" t="s">
        <v>161</v>
      </c>
      <c r="C181" s="229">
        <f>+'Cruise Ships'!L56</f>
        <v>0</v>
      </c>
      <c r="D181" s="229">
        <f>+'Cruise Ships'!L57</f>
        <v>0</v>
      </c>
      <c r="E181" s="229">
        <v>0</v>
      </c>
    </row>
    <row r="182" spans="2:5" x14ac:dyDescent="0.25">
      <c r="B182" s="230" t="s">
        <v>162</v>
      </c>
      <c r="C182" s="229">
        <f>+'Cruise Ships'!M56</f>
        <v>0</v>
      </c>
      <c r="D182" s="229">
        <f>+'Cruise Ships'!M57</f>
        <v>0</v>
      </c>
      <c r="E182" s="229" t="e">
        <f>D182/C182</f>
        <v>#DIV/0!</v>
      </c>
    </row>
    <row r="183" spans="2:5" x14ac:dyDescent="0.25">
      <c r="B183" s="230" t="s">
        <v>163</v>
      </c>
      <c r="C183" s="229">
        <f>+'Cruise Ships'!N56</f>
        <v>0</v>
      </c>
      <c r="D183" s="229">
        <f>+'Cruise Ships'!N57</f>
        <v>0</v>
      </c>
      <c r="E183" s="229">
        <v>0</v>
      </c>
    </row>
    <row r="184" spans="2:5" ht="15.75" thickBot="1" x14ac:dyDescent="0.3">
      <c r="B184" s="240" t="s">
        <v>164</v>
      </c>
      <c r="C184" s="241">
        <f>SUM(C181:C183)</f>
        <v>0</v>
      </c>
      <c r="D184" s="241">
        <f>SUM(D181:D183)</f>
        <v>0</v>
      </c>
      <c r="E184" s="241" t="e">
        <f>SUM(E181:E183)</f>
        <v>#DIV/0!</v>
      </c>
    </row>
    <row r="185" spans="2:5" ht="15.75" thickBot="1" x14ac:dyDescent="0.3">
      <c r="B185" s="236" t="s">
        <v>7</v>
      </c>
      <c r="C185" s="225">
        <f>C172+C176+C180+C184</f>
        <v>13</v>
      </c>
      <c r="D185" s="225">
        <f>D172+D176+D180+D184</f>
        <v>2518</v>
      </c>
      <c r="E185" s="225" t="e">
        <f>E172+E176+E180+E184</f>
        <v>#DIV/0!</v>
      </c>
    </row>
    <row r="186" spans="2:5" ht="15.75" thickBot="1" x14ac:dyDescent="0.3">
      <c r="B186" s="237" t="s">
        <v>165</v>
      </c>
      <c r="C186" s="225">
        <f>C185/12</f>
        <v>1.0833333333333333</v>
      </c>
      <c r="D186" s="238">
        <f>D185/12</f>
        <v>209.83333333333334</v>
      </c>
      <c r="E186" s="225">
        <f>D186/C186</f>
        <v>193.69230769230771</v>
      </c>
    </row>
  </sheetData>
  <mergeCells count="18">
    <mergeCell ref="B166:E166"/>
    <mergeCell ref="B120:E120"/>
    <mergeCell ref="G120:J120"/>
    <mergeCell ref="B143:E143"/>
    <mergeCell ref="B51:E51"/>
    <mergeCell ref="G51:J51"/>
    <mergeCell ref="B74:E74"/>
    <mergeCell ref="G74:J74"/>
    <mergeCell ref="B97:E97"/>
    <mergeCell ref="G97:J97"/>
    <mergeCell ref="G143:J143"/>
    <mergeCell ref="B2:J2"/>
    <mergeCell ref="B5:E5"/>
    <mergeCell ref="G5:J5"/>
    <mergeCell ref="G26:I26"/>
    <mergeCell ref="L26:N26"/>
    <mergeCell ref="B28:E28"/>
    <mergeCell ref="G28:J28"/>
  </mergeCells>
  <pageMargins left="0.52" right="0.09" top="0.23" bottom="0.28999999999999998" header="0.17" footer="0.17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pane xSplit="2" ySplit="5" topLeftCell="C53" activePane="bottomRight" state="frozen"/>
      <selection activeCell="AI231" sqref="AI231"/>
      <selection pane="topRight" activeCell="AI231" sqref="AI231"/>
      <selection pane="bottomLeft" activeCell="AI231" sqref="AI231"/>
      <selection pane="bottomRight" activeCell="G61" sqref="G61"/>
    </sheetView>
  </sheetViews>
  <sheetFormatPr defaultRowHeight="15.75" x14ac:dyDescent="0.25"/>
  <cols>
    <col min="1" max="1" width="8.109375" style="199" customWidth="1"/>
    <col min="2" max="2" width="17.5546875" style="199" customWidth="1"/>
    <col min="3" max="10" width="6.109375" style="199" customWidth="1"/>
    <col min="11" max="11" width="6" style="199" customWidth="1"/>
    <col min="12" max="14" width="6.109375" style="199" customWidth="1"/>
    <col min="15" max="15" width="6.5546875" style="199" customWidth="1"/>
    <col min="16" max="16384" width="8.88671875" style="199"/>
  </cols>
  <sheetData>
    <row r="1" spans="1:15" x14ac:dyDescent="0.25">
      <c r="A1" s="361" t="s">
        <v>215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4" spans="1:15" ht="16.5" thickBot="1" x14ac:dyDescent="0.3"/>
    <row r="5" spans="1:15" ht="16.5" thickBot="1" x14ac:dyDescent="0.3">
      <c r="C5" s="200" t="s">
        <v>9</v>
      </c>
      <c r="D5" s="201" t="s">
        <v>10</v>
      </c>
      <c r="E5" s="201" t="s">
        <v>47</v>
      </c>
      <c r="F5" s="201" t="s">
        <v>48</v>
      </c>
      <c r="G5" s="201" t="s">
        <v>14</v>
      </c>
      <c r="H5" s="201" t="s">
        <v>49</v>
      </c>
      <c r="I5" s="201" t="s">
        <v>50</v>
      </c>
      <c r="J5" s="201" t="s">
        <v>51</v>
      </c>
      <c r="K5" s="201" t="s">
        <v>144</v>
      </c>
      <c r="L5" s="201" t="s">
        <v>21</v>
      </c>
      <c r="M5" s="201" t="s">
        <v>22</v>
      </c>
      <c r="N5" s="202" t="s">
        <v>23</v>
      </c>
      <c r="O5" s="203" t="s">
        <v>31</v>
      </c>
    </row>
    <row r="6" spans="1:15" x14ac:dyDescent="0.25">
      <c r="A6" s="358">
        <v>2003</v>
      </c>
      <c r="B6" s="204" t="s">
        <v>145</v>
      </c>
      <c r="C6" s="205">
        <v>4</v>
      </c>
      <c r="D6" s="206">
        <v>3</v>
      </c>
      <c r="E6" s="206">
        <v>17</v>
      </c>
      <c r="F6" s="206">
        <v>13</v>
      </c>
      <c r="G6" s="206">
        <v>15</v>
      </c>
      <c r="H6" s="206">
        <v>5</v>
      </c>
      <c r="I6" s="206">
        <v>2</v>
      </c>
      <c r="J6" s="206">
        <v>7</v>
      </c>
      <c r="K6" s="206">
        <v>0</v>
      </c>
      <c r="L6" s="206">
        <v>7</v>
      </c>
      <c r="M6" s="206">
        <v>5</v>
      </c>
      <c r="N6" s="206">
        <v>14</v>
      </c>
      <c r="O6" s="207">
        <f>SUM(C6:N6)</f>
        <v>92</v>
      </c>
    </row>
    <row r="7" spans="1:15" x14ac:dyDescent="0.25">
      <c r="A7" s="359"/>
      <c r="B7" s="208" t="s">
        <v>146</v>
      </c>
      <c r="C7" s="209">
        <v>453</v>
      </c>
      <c r="D7" s="210">
        <v>269</v>
      </c>
      <c r="E7" s="210">
        <v>660</v>
      </c>
      <c r="F7" s="210">
        <v>242</v>
      </c>
      <c r="G7" s="210">
        <v>356</v>
      </c>
      <c r="H7" s="210">
        <v>12</v>
      </c>
      <c r="I7" s="210">
        <v>0</v>
      </c>
      <c r="J7" s="210">
        <v>107</v>
      </c>
      <c r="K7" s="210">
        <v>0</v>
      </c>
      <c r="L7" s="210">
        <v>35</v>
      </c>
      <c r="M7" s="210">
        <v>363</v>
      </c>
      <c r="N7" s="210">
        <v>1374</v>
      </c>
      <c r="O7" s="211">
        <f>SUM(C7:N7)</f>
        <v>3871</v>
      </c>
    </row>
    <row r="8" spans="1:15" ht="16.5" thickBot="1" x14ac:dyDescent="0.3">
      <c r="A8" s="360"/>
      <c r="B8" s="212" t="s">
        <v>147</v>
      </c>
      <c r="C8" s="213">
        <f>+C7/C6</f>
        <v>113.25</v>
      </c>
      <c r="D8" s="214">
        <f t="shared" ref="D8:N8" si="0">+D7/D6</f>
        <v>89.666666666666671</v>
      </c>
      <c r="E8" s="214">
        <f t="shared" si="0"/>
        <v>38.823529411764703</v>
      </c>
      <c r="F8" s="214">
        <f t="shared" si="0"/>
        <v>18.615384615384617</v>
      </c>
      <c r="G8" s="214">
        <f t="shared" si="0"/>
        <v>23.733333333333334</v>
      </c>
      <c r="H8" s="214">
        <f t="shared" si="0"/>
        <v>2.4</v>
      </c>
      <c r="I8" s="214">
        <f t="shared" si="0"/>
        <v>0</v>
      </c>
      <c r="J8" s="214">
        <f t="shared" si="0"/>
        <v>15.285714285714286</v>
      </c>
      <c r="K8" s="214">
        <v>0</v>
      </c>
      <c r="L8" s="214">
        <f t="shared" si="0"/>
        <v>5</v>
      </c>
      <c r="M8" s="214">
        <f t="shared" si="0"/>
        <v>72.599999999999994</v>
      </c>
      <c r="N8" s="214">
        <f t="shared" si="0"/>
        <v>98.142857142857139</v>
      </c>
      <c r="O8" s="215">
        <f>+O7/O6</f>
        <v>42.076086956521742</v>
      </c>
    </row>
    <row r="9" spans="1:15" x14ac:dyDescent="0.25">
      <c r="A9" s="358">
        <v>2004</v>
      </c>
      <c r="B9" s="204" t="s">
        <v>145</v>
      </c>
      <c r="C9" s="205">
        <v>11</v>
      </c>
      <c r="D9" s="206">
        <v>7</v>
      </c>
      <c r="E9" s="206">
        <v>6</v>
      </c>
      <c r="F9" s="206">
        <v>4</v>
      </c>
      <c r="G9" s="206">
        <v>1</v>
      </c>
      <c r="H9" s="206">
        <v>1</v>
      </c>
      <c r="I9" s="206">
        <v>0</v>
      </c>
      <c r="J9" s="206">
        <v>0</v>
      </c>
      <c r="K9" s="206">
        <v>0</v>
      </c>
      <c r="L9" s="206">
        <v>0</v>
      </c>
      <c r="M9" s="206">
        <v>1</v>
      </c>
      <c r="N9" s="206">
        <v>3</v>
      </c>
      <c r="O9" s="211">
        <f t="shared" ref="O9:O20" si="1">SUM(C9:N9)</f>
        <v>34</v>
      </c>
    </row>
    <row r="10" spans="1:15" x14ac:dyDescent="0.25">
      <c r="A10" s="359"/>
      <c r="B10" s="208" t="s">
        <v>146</v>
      </c>
      <c r="C10" s="209">
        <v>1183</v>
      </c>
      <c r="D10" s="210">
        <v>1461</v>
      </c>
      <c r="E10" s="210">
        <v>1396</v>
      </c>
      <c r="F10" s="210">
        <v>906</v>
      </c>
      <c r="G10" s="210">
        <v>210</v>
      </c>
      <c r="H10" s="210">
        <v>408</v>
      </c>
      <c r="I10" s="210">
        <v>0</v>
      </c>
      <c r="J10" s="210">
        <v>0</v>
      </c>
      <c r="K10" s="210">
        <v>0</v>
      </c>
      <c r="L10" s="210">
        <v>0</v>
      </c>
      <c r="M10" s="210">
        <v>259</v>
      </c>
      <c r="N10" s="210">
        <v>560</v>
      </c>
      <c r="O10" s="211">
        <f t="shared" si="1"/>
        <v>6383</v>
      </c>
    </row>
    <row r="11" spans="1:15" ht="16.5" thickBot="1" x14ac:dyDescent="0.3">
      <c r="A11" s="360"/>
      <c r="B11" s="212" t="s">
        <v>147</v>
      </c>
      <c r="C11" s="213">
        <f t="shared" ref="C11:H11" si="2">+C10/C9</f>
        <v>107.54545454545455</v>
      </c>
      <c r="D11" s="214">
        <f t="shared" si="2"/>
        <v>208.71428571428572</v>
      </c>
      <c r="E11" s="214">
        <f t="shared" si="2"/>
        <v>232.66666666666666</v>
      </c>
      <c r="F11" s="214">
        <f t="shared" si="2"/>
        <v>226.5</v>
      </c>
      <c r="G11" s="214">
        <f t="shared" si="2"/>
        <v>210</v>
      </c>
      <c r="H11" s="214">
        <f t="shared" si="2"/>
        <v>408</v>
      </c>
      <c r="I11" s="214">
        <v>0</v>
      </c>
      <c r="J11" s="214">
        <v>0</v>
      </c>
      <c r="K11" s="214">
        <v>0</v>
      </c>
      <c r="L11" s="214">
        <v>0</v>
      </c>
      <c r="M11" s="214">
        <f>+M10/M9</f>
        <v>259</v>
      </c>
      <c r="N11" s="214">
        <f>+N10/N9</f>
        <v>186.66666666666666</v>
      </c>
      <c r="O11" s="215">
        <f>+O10/O9</f>
        <v>187.73529411764707</v>
      </c>
    </row>
    <row r="12" spans="1:15" x14ac:dyDescent="0.25">
      <c r="A12" s="358">
        <v>2005</v>
      </c>
      <c r="B12" s="204" t="s">
        <v>145</v>
      </c>
      <c r="C12" s="205">
        <v>6</v>
      </c>
      <c r="D12" s="206">
        <v>5</v>
      </c>
      <c r="E12" s="206">
        <v>7</v>
      </c>
      <c r="F12" s="206">
        <v>0</v>
      </c>
      <c r="G12" s="206">
        <v>0</v>
      </c>
      <c r="H12" s="206">
        <v>0</v>
      </c>
      <c r="I12" s="206">
        <v>0</v>
      </c>
      <c r="J12" s="206">
        <v>0</v>
      </c>
      <c r="K12" s="206">
        <v>2</v>
      </c>
      <c r="L12" s="206">
        <v>0</v>
      </c>
      <c r="M12" s="206">
        <v>0</v>
      </c>
      <c r="N12" s="206">
        <v>6</v>
      </c>
      <c r="O12" s="207">
        <f t="shared" si="1"/>
        <v>26</v>
      </c>
    </row>
    <row r="13" spans="1:15" x14ac:dyDescent="0.25">
      <c r="A13" s="359"/>
      <c r="B13" s="208" t="s">
        <v>146</v>
      </c>
      <c r="C13" s="209">
        <v>1540</v>
      </c>
      <c r="D13" s="210">
        <v>939</v>
      </c>
      <c r="E13" s="210">
        <v>976</v>
      </c>
      <c r="F13" s="210">
        <v>0</v>
      </c>
      <c r="G13" s="210">
        <v>0</v>
      </c>
      <c r="H13" s="210">
        <v>0</v>
      </c>
      <c r="I13" s="210">
        <v>0</v>
      </c>
      <c r="J13" s="210">
        <v>0</v>
      </c>
      <c r="K13" s="210">
        <v>138</v>
      </c>
      <c r="L13" s="210">
        <v>0</v>
      </c>
      <c r="M13" s="210">
        <v>0</v>
      </c>
      <c r="N13" s="210">
        <v>1764</v>
      </c>
      <c r="O13" s="211">
        <f t="shared" si="1"/>
        <v>5357</v>
      </c>
    </row>
    <row r="14" spans="1:15" ht="16.5" thickBot="1" x14ac:dyDescent="0.3">
      <c r="A14" s="360"/>
      <c r="B14" s="212" t="s">
        <v>147</v>
      </c>
      <c r="C14" s="213">
        <f>+C13/C12</f>
        <v>256.66666666666669</v>
      </c>
      <c r="D14" s="214">
        <f>+D13/D12</f>
        <v>187.8</v>
      </c>
      <c r="E14" s="214">
        <f>+E13/E12</f>
        <v>139.42857142857142</v>
      </c>
      <c r="F14" s="214">
        <v>0</v>
      </c>
      <c r="G14" s="214">
        <v>0</v>
      </c>
      <c r="H14" s="214">
        <v>0</v>
      </c>
      <c r="I14" s="214">
        <v>0</v>
      </c>
      <c r="J14" s="214">
        <v>0</v>
      </c>
      <c r="K14" s="214">
        <f>+K13/K12</f>
        <v>69</v>
      </c>
      <c r="L14" s="214">
        <v>0</v>
      </c>
      <c r="M14" s="214">
        <v>0</v>
      </c>
      <c r="N14" s="214">
        <f>+N13/N12</f>
        <v>294</v>
      </c>
      <c r="O14" s="215">
        <f>+O13/O12</f>
        <v>206.03846153846155</v>
      </c>
    </row>
    <row r="15" spans="1:15" x14ac:dyDescent="0.25">
      <c r="A15" s="358">
        <v>2006</v>
      </c>
      <c r="B15" s="204" t="s">
        <v>145</v>
      </c>
      <c r="C15" s="205">
        <v>5</v>
      </c>
      <c r="D15" s="206">
        <v>6</v>
      </c>
      <c r="E15" s="206">
        <v>7</v>
      </c>
      <c r="F15" s="206">
        <v>4</v>
      </c>
      <c r="G15" s="206">
        <v>2</v>
      </c>
      <c r="H15" s="206">
        <v>0</v>
      </c>
      <c r="I15" s="206">
        <v>0</v>
      </c>
      <c r="J15" s="206">
        <v>1</v>
      </c>
      <c r="K15" s="206"/>
      <c r="L15" s="206"/>
      <c r="M15" s="206">
        <v>5</v>
      </c>
      <c r="N15" s="206">
        <v>14</v>
      </c>
      <c r="O15" s="211">
        <f t="shared" si="1"/>
        <v>44</v>
      </c>
    </row>
    <row r="16" spans="1:15" x14ac:dyDescent="0.25">
      <c r="A16" s="359"/>
      <c r="B16" s="208" t="s">
        <v>146</v>
      </c>
      <c r="C16" s="209">
        <v>1630</v>
      </c>
      <c r="D16" s="210">
        <v>927</v>
      </c>
      <c r="E16" s="210">
        <v>1141</v>
      </c>
      <c r="F16" s="210">
        <v>415</v>
      </c>
      <c r="G16" s="210">
        <v>255</v>
      </c>
      <c r="H16" s="210">
        <v>0</v>
      </c>
      <c r="I16" s="210">
        <v>0</v>
      </c>
      <c r="J16" s="210">
        <v>68</v>
      </c>
      <c r="K16" s="210"/>
      <c r="L16" s="210"/>
      <c r="M16" s="210">
        <f>99+93+97+112+82</f>
        <v>483</v>
      </c>
      <c r="N16" s="210">
        <f>140+138+82+53+81+94+66+47+195+44+108+247+136+123</f>
        <v>1554</v>
      </c>
      <c r="O16" s="211">
        <f t="shared" si="1"/>
        <v>6473</v>
      </c>
    </row>
    <row r="17" spans="1:15" ht="16.5" thickBot="1" x14ac:dyDescent="0.3">
      <c r="A17" s="360"/>
      <c r="B17" s="212" t="s">
        <v>147</v>
      </c>
      <c r="C17" s="213">
        <f>+C16/C15</f>
        <v>326</v>
      </c>
      <c r="D17" s="214">
        <f>+D16/D15</f>
        <v>154.5</v>
      </c>
      <c r="E17" s="214">
        <f>+E16/E15</f>
        <v>163</v>
      </c>
      <c r="F17" s="214">
        <f>+F16/F15</f>
        <v>103.75</v>
      </c>
      <c r="G17" s="214">
        <f>+G16/G15</f>
        <v>127.5</v>
      </c>
      <c r="H17" s="214">
        <v>0</v>
      </c>
      <c r="I17" s="214">
        <v>0</v>
      </c>
      <c r="J17" s="214">
        <f>+J16/J15</f>
        <v>68</v>
      </c>
      <c r="K17" s="214"/>
      <c r="L17" s="214"/>
      <c r="M17" s="214">
        <f>+M16/M15</f>
        <v>96.6</v>
      </c>
      <c r="N17" s="214">
        <f>+N16/N15</f>
        <v>111</v>
      </c>
      <c r="O17" s="215">
        <f>+O16/O15</f>
        <v>147.11363636363637</v>
      </c>
    </row>
    <row r="18" spans="1:15" x14ac:dyDescent="0.25">
      <c r="A18" s="358">
        <v>2007</v>
      </c>
      <c r="B18" s="204" t="s">
        <v>145</v>
      </c>
      <c r="C18" s="205">
        <v>13</v>
      </c>
      <c r="D18" s="206">
        <v>8</v>
      </c>
      <c r="E18" s="206">
        <v>14</v>
      </c>
      <c r="F18" s="206">
        <v>2</v>
      </c>
      <c r="G18" s="206"/>
      <c r="H18" s="206"/>
      <c r="I18" s="206"/>
      <c r="J18" s="206"/>
      <c r="K18" s="206"/>
      <c r="L18" s="206"/>
      <c r="M18" s="206"/>
      <c r="N18" s="206"/>
      <c r="O18" s="207">
        <f t="shared" si="1"/>
        <v>37</v>
      </c>
    </row>
    <row r="19" spans="1:15" x14ac:dyDescent="0.25">
      <c r="A19" s="359"/>
      <c r="B19" s="208" t="s">
        <v>146</v>
      </c>
      <c r="C19" s="209">
        <v>1511</v>
      </c>
      <c r="D19" s="210">
        <v>889</v>
      </c>
      <c r="E19" s="210">
        <v>1619</v>
      </c>
      <c r="F19" s="210">
        <f>151+154</f>
        <v>305</v>
      </c>
      <c r="G19" s="210"/>
      <c r="H19" s="210"/>
      <c r="I19" s="210"/>
      <c r="J19" s="210"/>
      <c r="K19" s="210"/>
      <c r="L19" s="210"/>
      <c r="M19" s="210"/>
      <c r="N19" s="210"/>
      <c r="O19" s="211">
        <f t="shared" si="1"/>
        <v>4324</v>
      </c>
    </row>
    <row r="20" spans="1:15" ht="16.5" thickBot="1" x14ac:dyDescent="0.3">
      <c r="A20" s="360"/>
      <c r="B20" s="212" t="s">
        <v>147</v>
      </c>
      <c r="C20" s="213">
        <f>+C19/C18</f>
        <v>116.23076923076923</v>
      </c>
      <c r="D20" s="214">
        <f>+D19/D18</f>
        <v>111.125</v>
      </c>
      <c r="E20" s="214">
        <f>+E19/E18</f>
        <v>115.64285714285714</v>
      </c>
      <c r="F20" s="214">
        <f>+F19/F18</f>
        <v>152.5</v>
      </c>
      <c r="G20" s="214"/>
      <c r="H20" s="214"/>
      <c r="I20" s="214"/>
      <c r="J20" s="214"/>
      <c r="K20" s="214"/>
      <c r="L20" s="214"/>
      <c r="M20" s="214"/>
      <c r="N20" s="214"/>
      <c r="O20" s="215">
        <f t="shared" si="1"/>
        <v>495.49862637362639</v>
      </c>
    </row>
    <row r="21" spans="1:15" x14ac:dyDescent="0.25">
      <c r="A21" s="358">
        <v>2008</v>
      </c>
      <c r="B21" s="204" t="s">
        <v>145</v>
      </c>
      <c r="C21" s="205"/>
      <c r="D21" s="206"/>
      <c r="E21" s="206"/>
      <c r="F21" s="206"/>
      <c r="G21" s="206"/>
      <c r="H21" s="206"/>
      <c r="I21" s="206"/>
      <c r="J21" s="206"/>
      <c r="K21" s="206"/>
      <c r="L21" s="206"/>
      <c r="M21" s="206">
        <v>1</v>
      </c>
      <c r="N21" s="206">
        <v>1</v>
      </c>
      <c r="O21" s="207">
        <f>SUM(C21:N21)</f>
        <v>2</v>
      </c>
    </row>
    <row r="22" spans="1:15" x14ac:dyDescent="0.25">
      <c r="A22" s="359"/>
      <c r="B22" s="208" t="s">
        <v>146</v>
      </c>
      <c r="C22" s="209"/>
      <c r="D22" s="210"/>
      <c r="E22" s="210"/>
      <c r="F22" s="210"/>
      <c r="G22" s="210"/>
      <c r="H22" s="210"/>
      <c r="I22" s="210"/>
      <c r="J22" s="210"/>
      <c r="K22" s="210"/>
      <c r="L22" s="210"/>
      <c r="M22" s="210">
        <v>131</v>
      </c>
      <c r="N22" s="210">
        <v>354</v>
      </c>
      <c r="O22" s="211">
        <f>SUM(C22:N22)</f>
        <v>485</v>
      </c>
    </row>
    <row r="23" spans="1:15" ht="16.5" thickBot="1" x14ac:dyDescent="0.3">
      <c r="A23" s="360"/>
      <c r="B23" s="212" t="s">
        <v>147</v>
      </c>
      <c r="C23" s="213"/>
      <c r="D23" s="214"/>
      <c r="E23" s="214"/>
      <c r="F23" s="214"/>
      <c r="G23" s="214"/>
      <c r="H23" s="214"/>
      <c r="I23" s="214"/>
      <c r="J23" s="214"/>
      <c r="K23" s="214"/>
      <c r="L23" s="214"/>
      <c r="M23" s="214">
        <v>201</v>
      </c>
      <c r="N23" s="214">
        <v>207</v>
      </c>
      <c r="O23" s="215">
        <f>SUM(C23:N23)</f>
        <v>408</v>
      </c>
    </row>
    <row r="24" spans="1:15" x14ac:dyDescent="0.25">
      <c r="A24" s="358">
        <v>2009</v>
      </c>
      <c r="B24" s="204" t="s">
        <v>145</v>
      </c>
      <c r="C24" s="205">
        <v>6</v>
      </c>
      <c r="D24" s="206">
        <v>3</v>
      </c>
      <c r="E24" s="206">
        <v>3</v>
      </c>
      <c r="F24" s="206">
        <v>3</v>
      </c>
      <c r="G24" s="206">
        <v>1</v>
      </c>
      <c r="H24" s="206"/>
      <c r="I24" s="206"/>
      <c r="J24" s="206"/>
      <c r="K24" s="206"/>
      <c r="L24" s="206"/>
      <c r="M24" s="206">
        <v>1</v>
      </c>
      <c r="N24" s="216">
        <v>5</v>
      </c>
      <c r="O24" s="207">
        <f t="shared" ref="O24:O47" si="3">SUM(C24:N24)</f>
        <v>22</v>
      </c>
    </row>
    <row r="25" spans="1:15" x14ac:dyDescent="0.25">
      <c r="A25" s="359"/>
      <c r="B25" s="208" t="s">
        <v>146</v>
      </c>
      <c r="C25" s="209">
        <f>38+109+100+104+103+96</f>
        <v>550</v>
      </c>
      <c r="D25" s="210">
        <f>310+185+83</f>
        <v>578</v>
      </c>
      <c r="E25" s="210">
        <f>41+63+244</f>
        <v>348</v>
      </c>
      <c r="F25" s="210">
        <f>94+93+13</f>
        <v>200</v>
      </c>
      <c r="G25" s="210">
        <v>76</v>
      </c>
      <c r="H25" s="210"/>
      <c r="I25" s="210"/>
      <c r="J25" s="210"/>
      <c r="K25" s="210"/>
      <c r="L25" s="210"/>
      <c r="M25" s="210">
        <f>55+53</f>
        <v>108</v>
      </c>
      <c r="N25" s="217">
        <f>60+96+61+109+141</f>
        <v>467</v>
      </c>
      <c r="O25" s="211">
        <f t="shared" si="3"/>
        <v>2327</v>
      </c>
    </row>
    <row r="26" spans="1:15" x14ac:dyDescent="0.25">
      <c r="A26" s="359"/>
      <c r="B26" s="208" t="s">
        <v>148</v>
      </c>
      <c r="C26" s="209">
        <f>28+92+94+71+94+93</f>
        <v>472</v>
      </c>
      <c r="D26" s="210">
        <f>208+62+210</f>
        <v>480</v>
      </c>
      <c r="E26" s="210">
        <f>26+64+191</f>
        <v>281</v>
      </c>
      <c r="F26" s="210">
        <f>95+94+25</f>
        <v>214</v>
      </c>
      <c r="G26" s="210">
        <v>96</v>
      </c>
      <c r="H26" s="210"/>
      <c r="I26" s="210"/>
      <c r="J26" s="210"/>
      <c r="K26" s="210"/>
      <c r="L26" s="210"/>
      <c r="M26" s="210">
        <v>95</v>
      </c>
      <c r="N26" s="217">
        <f>189+92+187+93+206</f>
        <v>767</v>
      </c>
      <c r="O26" s="211">
        <f t="shared" si="3"/>
        <v>2405</v>
      </c>
    </row>
    <row r="27" spans="1:15" ht="16.5" thickBot="1" x14ac:dyDescent="0.3">
      <c r="A27" s="360"/>
      <c r="B27" s="212" t="s">
        <v>147</v>
      </c>
      <c r="C27" s="213">
        <f>+C25/C24</f>
        <v>91.666666666666671</v>
      </c>
      <c r="D27" s="214">
        <f t="shared" ref="D27:N27" si="4">+D25/D24</f>
        <v>192.66666666666666</v>
      </c>
      <c r="E27" s="214">
        <f t="shared" si="4"/>
        <v>116</v>
      </c>
      <c r="F27" s="214">
        <f>+F25/F24</f>
        <v>66.666666666666671</v>
      </c>
      <c r="G27" s="214">
        <f t="shared" si="4"/>
        <v>76</v>
      </c>
      <c r="H27" s="214"/>
      <c r="I27" s="214"/>
      <c r="J27" s="214"/>
      <c r="K27" s="214"/>
      <c r="L27" s="214"/>
      <c r="M27" s="214">
        <f t="shared" si="4"/>
        <v>108</v>
      </c>
      <c r="N27" s="218">
        <f t="shared" si="4"/>
        <v>93.4</v>
      </c>
      <c r="O27" s="215">
        <f t="shared" si="3"/>
        <v>744.4</v>
      </c>
    </row>
    <row r="28" spans="1:15" x14ac:dyDescent="0.25">
      <c r="A28" s="358">
        <v>2010</v>
      </c>
      <c r="B28" s="204" t="s">
        <v>145</v>
      </c>
      <c r="C28" s="205">
        <v>2</v>
      </c>
      <c r="D28" s="206">
        <v>7</v>
      </c>
      <c r="E28" s="206">
        <v>3</v>
      </c>
      <c r="F28" s="206">
        <v>3</v>
      </c>
      <c r="G28" s="206"/>
      <c r="H28" s="206"/>
      <c r="I28" s="206"/>
      <c r="J28" s="206"/>
      <c r="K28" s="206"/>
      <c r="L28" s="206"/>
      <c r="M28" s="206">
        <v>4</v>
      </c>
      <c r="N28" s="216"/>
      <c r="O28" s="207">
        <f t="shared" si="3"/>
        <v>19</v>
      </c>
    </row>
    <row r="29" spans="1:15" x14ac:dyDescent="0.25">
      <c r="A29" s="359"/>
      <c r="B29" s="208" t="s">
        <v>146</v>
      </c>
      <c r="C29" s="209">
        <f>94+32</f>
        <v>126</v>
      </c>
      <c r="D29" s="210">
        <f>182+32+103+97+99+96+24</f>
        <v>633</v>
      </c>
      <c r="E29" s="210">
        <f>75+194+29</f>
        <v>298</v>
      </c>
      <c r="F29" s="210">
        <f>112+135+106</f>
        <v>353</v>
      </c>
      <c r="G29" s="210"/>
      <c r="H29" s="210"/>
      <c r="I29" s="210"/>
      <c r="J29" s="210"/>
      <c r="K29" s="210"/>
      <c r="L29" s="210"/>
      <c r="M29" s="210">
        <f>26+22+50+55+92+100+29+32</f>
        <v>406</v>
      </c>
      <c r="N29" s="217"/>
      <c r="O29" s="211">
        <f t="shared" si="3"/>
        <v>1816</v>
      </c>
    </row>
    <row r="30" spans="1:15" x14ac:dyDescent="0.25">
      <c r="A30" s="359"/>
      <c r="B30" s="208" t="s">
        <v>148</v>
      </c>
      <c r="C30" s="209">
        <f>104+61</f>
        <v>165</v>
      </c>
      <c r="D30" s="210">
        <f>187+60+90+93+92+92+60</f>
        <v>674</v>
      </c>
      <c r="E30" s="210">
        <f>90+197+60</f>
        <v>347</v>
      </c>
      <c r="F30" s="210">
        <f>92+187+91</f>
        <v>370</v>
      </c>
      <c r="G30" s="210"/>
      <c r="H30" s="210"/>
      <c r="I30" s="210"/>
      <c r="J30" s="210"/>
      <c r="K30" s="210"/>
      <c r="L30" s="210"/>
      <c r="M30" s="210">
        <f>92+76+199+91</f>
        <v>458</v>
      </c>
      <c r="N30" s="217"/>
      <c r="O30" s="211">
        <f t="shared" si="3"/>
        <v>2014</v>
      </c>
    </row>
    <row r="31" spans="1:15" ht="16.5" thickBot="1" x14ac:dyDescent="0.3">
      <c r="A31" s="360"/>
      <c r="B31" s="212" t="s">
        <v>147</v>
      </c>
      <c r="C31" s="213">
        <f>+C29/C28</f>
        <v>63</v>
      </c>
      <c r="D31" s="214">
        <f>+D29/D28</f>
        <v>90.428571428571431</v>
      </c>
      <c r="E31" s="214">
        <f>+E29/E28</f>
        <v>99.333333333333329</v>
      </c>
      <c r="F31" s="214">
        <f>+F29/F28</f>
        <v>117.66666666666667</v>
      </c>
      <c r="G31" s="214"/>
      <c r="H31" s="214"/>
      <c r="I31" s="214"/>
      <c r="J31" s="214"/>
      <c r="K31" s="214"/>
      <c r="L31" s="214"/>
      <c r="M31" s="214">
        <f>+M29/M28</f>
        <v>101.5</v>
      </c>
      <c r="N31" s="218"/>
      <c r="O31" s="215">
        <f t="shared" si="3"/>
        <v>471.92857142857144</v>
      </c>
    </row>
    <row r="32" spans="1:15" x14ac:dyDescent="0.25">
      <c r="A32" s="358">
        <v>2011</v>
      </c>
      <c r="B32" s="204" t="s">
        <v>145</v>
      </c>
      <c r="C32" s="205">
        <v>2</v>
      </c>
      <c r="D32" s="206">
        <v>2</v>
      </c>
      <c r="E32" s="206">
        <v>6</v>
      </c>
      <c r="F32" s="206"/>
      <c r="G32" s="206"/>
      <c r="H32" s="206"/>
      <c r="I32" s="206"/>
      <c r="J32" s="206"/>
      <c r="K32" s="206"/>
      <c r="L32" s="206"/>
      <c r="M32" s="206"/>
      <c r="N32" s="216">
        <v>4</v>
      </c>
      <c r="O32" s="207">
        <f t="shared" si="3"/>
        <v>14</v>
      </c>
    </row>
    <row r="33" spans="1:15" x14ac:dyDescent="0.25">
      <c r="A33" s="359"/>
      <c r="B33" s="208" t="s">
        <v>146</v>
      </c>
      <c r="C33" s="209">
        <f>89+85</f>
        <v>174</v>
      </c>
      <c r="D33" s="210">
        <f>146+107</f>
        <v>253</v>
      </c>
      <c r="E33" s="210">
        <f>156+202+154+142+74+58</f>
        <v>786</v>
      </c>
      <c r="F33" s="210"/>
      <c r="G33" s="210"/>
      <c r="H33" s="210"/>
      <c r="I33" s="210"/>
      <c r="J33" s="210"/>
      <c r="K33" s="210"/>
      <c r="L33" s="210"/>
      <c r="M33" s="210"/>
      <c r="N33" s="217">
        <f>54+125+63+133</f>
        <v>375</v>
      </c>
      <c r="O33" s="211">
        <f t="shared" si="3"/>
        <v>1588</v>
      </c>
    </row>
    <row r="34" spans="1:15" x14ac:dyDescent="0.25">
      <c r="A34" s="359"/>
      <c r="B34" s="208" t="s">
        <v>148</v>
      </c>
      <c r="C34" s="209">
        <f>93+94</f>
        <v>187</v>
      </c>
      <c r="D34" s="210">
        <f>76+92</f>
        <v>168</v>
      </c>
      <c r="E34" s="210">
        <f>76+196+77+79+91+91</f>
        <v>610</v>
      </c>
      <c r="F34" s="210"/>
      <c r="G34" s="210"/>
      <c r="H34" s="210"/>
      <c r="I34" s="210"/>
      <c r="J34" s="210"/>
      <c r="K34" s="210"/>
      <c r="L34" s="210"/>
      <c r="M34" s="210"/>
      <c r="N34" s="217">
        <f>94+75+87+76</f>
        <v>332</v>
      </c>
      <c r="O34" s="211">
        <f t="shared" si="3"/>
        <v>1297</v>
      </c>
    </row>
    <row r="35" spans="1:15" ht="16.5" thickBot="1" x14ac:dyDescent="0.3">
      <c r="A35" s="360"/>
      <c r="B35" s="212" t="s">
        <v>147</v>
      </c>
      <c r="C35" s="213">
        <f>+C33/C32</f>
        <v>87</v>
      </c>
      <c r="D35" s="214">
        <f>+D33/D32</f>
        <v>126.5</v>
      </c>
      <c r="E35" s="214">
        <f>+E33/E32</f>
        <v>131</v>
      </c>
      <c r="F35" s="214"/>
      <c r="G35" s="214"/>
      <c r="H35" s="214"/>
      <c r="I35" s="214"/>
      <c r="J35" s="214"/>
      <c r="K35" s="214"/>
      <c r="L35" s="214"/>
      <c r="M35" s="214"/>
      <c r="N35" s="214">
        <f>+N33/N32</f>
        <v>93.75</v>
      </c>
      <c r="O35" s="215">
        <f t="shared" si="3"/>
        <v>438.25</v>
      </c>
    </row>
    <row r="36" spans="1:15" x14ac:dyDescent="0.25">
      <c r="A36" s="358">
        <v>2012</v>
      </c>
      <c r="B36" s="204" t="s">
        <v>145</v>
      </c>
      <c r="C36" s="205">
        <v>6</v>
      </c>
      <c r="D36" s="206">
        <v>2</v>
      </c>
      <c r="E36" s="206">
        <v>3</v>
      </c>
      <c r="F36" s="206">
        <v>3</v>
      </c>
      <c r="G36" s="206"/>
      <c r="H36" s="206"/>
      <c r="I36" s="206"/>
      <c r="J36" s="206"/>
      <c r="K36" s="206"/>
      <c r="L36" s="206"/>
      <c r="M36" s="206">
        <v>1</v>
      </c>
      <c r="N36" s="216">
        <v>6</v>
      </c>
      <c r="O36" s="207">
        <f t="shared" si="3"/>
        <v>21</v>
      </c>
    </row>
    <row r="37" spans="1:15" x14ac:dyDescent="0.25">
      <c r="A37" s="359"/>
      <c r="B37" s="208" t="s">
        <v>146</v>
      </c>
      <c r="C37" s="209">
        <f>104+103+88+44+260+324</f>
        <v>923</v>
      </c>
      <c r="D37" s="210">
        <f>149+284</f>
        <v>433</v>
      </c>
      <c r="E37" s="210">
        <f>133+101+144</f>
        <v>378</v>
      </c>
      <c r="F37" s="210">
        <f>151+84+116</f>
        <v>351</v>
      </c>
      <c r="G37" s="210"/>
      <c r="H37" s="210"/>
      <c r="I37" s="210"/>
      <c r="J37" s="210"/>
      <c r="K37" s="210"/>
      <c r="L37" s="210"/>
      <c r="M37" s="210">
        <v>64</v>
      </c>
      <c r="N37" s="217">
        <f>113+60+100+64+205+148</f>
        <v>690</v>
      </c>
      <c r="O37" s="211">
        <f t="shared" si="3"/>
        <v>2839</v>
      </c>
    </row>
    <row r="38" spans="1:15" x14ac:dyDescent="0.25">
      <c r="A38" s="359"/>
      <c r="B38" s="208" t="s">
        <v>148</v>
      </c>
      <c r="C38" s="209">
        <f>92+94+91+61+219+212</f>
        <v>769</v>
      </c>
      <c r="D38" s="210">
        <f>76+218</f>
        <v>294</v>
      </c>
      <c r="E38" s="210">
        <f>72+90+75</f>
        <v>237</v>
      </c>
      <c r="F38" s="210">
        <f>79+93+91</f>
        <v>263</v>
      </c>
      <c r="G38" s="210"/>
      <c r="H38" s="210"/>
      <c r="I38" s="210"/>
      <c r="J38" s="210"/>
      <c r="K38" s="210"/>
      <c r="L38" s="210"/>
      <c r="M38" s="210">
        <v>91</v>
      </c>
      <c r="N38" s="217">
        <f>78+92+76+62+169+76</f>
        <v>553</v>
      </c>
      <c r="O38" s="211">
        <f t="shared" si="3"/>
        <v>2207</v>
      </c>
    </row>
    <row r="39" spans="1:15" ht="16.5" thickBot="1" x14ac:dyDescent="0.3">
      <c r="A39" s="360"/>
      <c r="B39" s="212" t="s">
        <v>147</v>
      </c>
      <c r="C39" s="213">
        <f>+C37/C36</f>
        <v>153.83333333333334</v>
      </c>
      <c r="D39" s="214">
        <f>+D37/D36</f>
        <v>216.5</v>
      </c>
      <c r="E39" s="214">
        <f>+E37/E36</f>
        <v>126</v>
      </c>
      <c r="F39" s="214">
        <f>+F37/F36</f>
        <v>117</v>
      </c>
      <c r="G39" s="214"/>
      <c r="H39" s="214"/>
      <c r="I39" s="214"/>
      <c r="J39" s="214"/>
      <c r="K39" s="214"/>
      <c r="L39" s="214"/>
      <c r="M39" s="214">
        <f>+M37/M36</f>
        <v>64</v>
      </c>
      <c r="N39" s="214">
        <f>+N37/N36</f>
        <v>115</v>
      </c>
      <c r="O39" s="215">
        <f t="shared" si="3"/>
        <v>792.33333333333337</v>
      </c>
    </row>
    <row r="40" spans="1:15" x14ac:dyDescent="0.25">
      <c r="A40" s="358">
        <v>2013</v>
      </c>
      <c r="B40" s="204" t="s">
        <v>145</v>
      </c>
      <c r="C40" s="205">
        <v>6</v>
      </c>
      <c r="D40" s="206">
        <v>4</v>
      </c>
      <c r="E40" s="206">
        <v>4</v>
      </c>
      <c r="F40" s="206">
        <v>2</v>
      </c>
      <c r="G40" s="206"/>
      <c r="H40" s="206"/>
      <c r="I40" s="206"/>
      <c r="J40" s="206"/>
      <c r="K40" s="206"/>
      <c r="L40" s="206"/>
      <c r="M40" s="206"/>
      <c r="N40" s="216"/>
      <c r="O40" s="207">
        <f t="shared" si="3"/>
        <v>16</v>
      </c>
    </row>
    <row r="41" spans="1:15" x14ac:dyDescent="0.25">
      <c r="A41" s="359"/>
      <c r="B41" s="208" t="s">
        <v>146</v>
      </c>
      <c r="C41" s="209">
        <f>200+162+100+212+106+210</f>
        <v>990</v>
      </c>
      <c r="D41" s="210">
        <f>198+145+200+221</f>
        <v>764</v>
      </c>
      <c r="E41" s="210">
        <f>189+170+181+153</f>
        <v>693</v>
      </c>
      <c r="F41" s="210">
        <f>103+77</f>
        <v>180</v>
      </c>
      <c r="G41" s="210"/>
      <c r="H41" s="210"/>
      <c r="I41" s="210"/>
      <c r="J41" s="210"/>
      <c r="K41" s="210"/>
      <c r="L41" s="210"/>
      <c r="M41" s="210"/>
      <c r="N41" s="217"/>
      <c r="O41" s="211">
        <f t="shared" si="3"/>
        <v>2627</v>
      </c>
    </row>
    <row r="42" spans="1:15" x14ac:dyDescent="0.25">
      <c r="A42" s="359"/>
      <c r="B42" s="208" t="s">
        <v>148</v>
      </c>
      <c r="C42" s="209">
        <f>164+75+92+202+91+174</f>
        <v>798</v>
      </c>
      <c r="D42" s="210">
        <f>175+78+172+209</f>
        <v>634</v>
      </c>
      <c r="E42" s="210">
        <f>172+206+172+78</f>
        <v>628</v>
      </c>
      <c r="F42" s="210">
        <f>94+66</f>
        <v>160</v>
      </c>
      <c r="G42" s="210"/>
      <c r="H42" s="210"/>
      <c r="I42" s="210"/>
      <c r="J42" s="210"/>
      <c r="K42" s="210"/>
      <c r="L42" s="210"/>
      <c r="M42" s="210"/>
      <c r="N42" s="217"/>
      <c r="O42" s="211">
        <f t="shared" si="3"/>
        <v>2220</v>
      </c>
    </row>
    <row r="43" spans="1:15" ht="16.5" thickBot="1" x14ac:dyDescent="0.3">
      <c r="A43" s="360"/>
      <c r="B43" s="212" t="s">
        <v>147</v>
      </c>
      <c r="C43" s="213">
        <f>+C41/C40</f>
        <v>165</v>
      </c>
      <c r="D43" s="214">
        <f>+D41/D40</f>
        <v>191</v>
      </c>
      <c r="E43" s="214">
        <f>+E41/E40</f>
        <v>173.25</v>
      </c>
      <c r="F43" s="214">
        <f>+F41/F40</f>
        <v>90</v>
      </c>
      <c r="G43" s="214"/>
      <c r="H43" s="214"/>
      <c r="I43" s="214"/>
      <c r="J43" s="214"/>
      <c r="K43" s="214"/>
      <c r="L43" s="214"/>
      <c r="M43" s="214"/>
      <c r="N43" s="218"/>
      <c r="O43" s="215">
        <f t="shared" si="3"/>
        <v>619.25</v>
      </c>
    </row>
    <row r="44" spans="1:15" x14ac:dyDescent="0.25">
      <c r="A44" s="358">
        <v>2014</v>
      </c>
      <c r="B44" s="204" t="s">
        <v>145</v>
      </c>
      <c r="C44" s="205">
        <v>10</v>
      </c>
      <c r="D44" s="206">
        <v>9</v>
      </c>
      <c r="E44" s="206">
        <v>4</v>
      </c>
      <c r="F44" s="206">
        <v>3</v>
      </c>
      <c r="G44" s="206"/>
      <c r="H44" s="206"/>
      <c r="I44" s="206"/>
      <c r="J44" s="206"/>
      <c r="K44" s="206"/>
      <c r="L44" s="206"/>
      <c r="M44" s="206">
        <v>4</v>
      </c>
      <c r="N44" s="216">
        <v>14</v>
      </c>
      <c r="O44" s="207">
        <f t="shared" si="3"/>
        <v>44</v>
      </c>
    </row>
    <row r="45" spans="1:15" x14ac:dyDescent="0.25">
      <c r="A45" s="359"/>
      <c r="B45" s="208" t="s">
        <v>146</v>
      </c>
      <c r="C45" s="209">
        <f>173+43+148+104+192+106+55+46+111+204</f>
        <v>1182</v>
      </c>
      <c r="D45" s="210">
        <f>114+118+102+191+56+98+145+102+189</f>
        <v>1115</v>
      </c>
      <c r="E45" s="210">
        <f>186+131+194+160</f>
        <v>671</v>
      </c>
      <c r="F45" s="210">
        <f>60+46+111</f>
        <v>217</v>
      </c>
      <c r="G45" s="210"/>
      <c r="H45" s="210"/>
      <c r="I45" s="210"/>
      <c r="J45" s="210"/>
      <c r="K45" s="210"/>
      <c r="L45" s="210"/>
      <c r="M45" s="210">
        <f>195+84+202+191+75</f>
        <v>747</v>
      </c>
      <c r="N45" s="217">
        <f>76+95+203+195+54+91+51+77+59+187+90+367+157+461</f>
        <v>2163</v>
      </c>
      <c r="O45" s="211">
        <f t="shared" si="3"/>
        <v>6095</v>
      </c>
    </row>
    <row r="46" spans="1:15" x14ac:dyDescent="0.25">
      <c r="A46" s="359"/>
      <c r="B46" s="208" t="s">
        <v>148</v>
      </c>
      <c r="C46" s="209">
        <f>171+58+78+90+173+90+35+35+90+173</f>
        <v>993</v>
      </c>
      <c r="D46" s="210">
        <f>92+77+92+172+59+92+79+94+174</f>
        <v>931</v>
      </c>
      <c r="E46" s="210">
        <f>175+78+175+79</f>
        <v>507</v>
      </c>
      <c r="F46" s="210">
        <f>64+60+90</f>
        <v>214</v>
      </c>
      <c r="G46" s="210"/>
      <c r="H46" s="210"/>
      <c r="I46" s="210"/>
      <c r="J46" s="210"/>
      <c r="K46" s="210"/>
      <c r="L46" s="210"/>
      <c r="M46" s="210">
        <f>174+92+176+176+79</f>
        <v>697</v>
      </c>
      <c r="N46" s="217">
        <f>93+91+173+174+32+78+71+91+63+174+71+205+78+378</f>
        <v>1772</v>
      </c>
      <c r="O46" s="211">
        <f t="shared" si="3"/>
        <v>5114</v>
      </c>
    </row>
    <row r="47" spans="1:15" ht="16.5" thickBot="1" x14ac:dyDescent="0.3">
      <c r="A47" s="360"/>
      <c r="B47" s="212" t="s">
        <v>147</v>
      </c>
      <c r="C47" s="213">
        <f>+C45/C44</f>
        <v>118.2</v>
      </c>
      <c r="D47" s="214">
        <f>+D45/D44</f>
        <v>123.88888888888889</v>
      </c>
      <c r="E47" s="214">
        <f>+E45/E44</f>
        <v>167.75</v>
      </c>
      <c r="F47" s="214">
        <f>+F45/F44</f>
        <v>72.333333333333329</v>
      </c>
      <c r="G47" s="214"/>
      <c r="H47" s="214"/>
      <c r="I47" s="214"/>
      <c r="J47" s="214"/>
      <c r="K47" s="214"/>
      <c r="L47" s="214"/>
      <c r="M47" s="214">
        <f>+M45/M44</f>
        <v>186.75</v>
      </c>
      <c r="N47" s="214">
        <f>+N45/N44</f>
        <v>154.5</v>
      </c>
      <c r="O47" s="215">
        <f t="shared" si="3"/>
        <v>823.42222222222222</v>
      </c>
    </row>
    <row r="48" spans="1:15" x14ac:dyDescent="0.25">
      <c r="A48" s="358">
        <v>2015</v>
      </c>
      <c r="B48" s="204" t="s">
        <v>145</v>
      </c>
      <c r="C48" s="205">
        <v>11</v>
      </c>
      <c r="D48" s="206">
        <v>8</v>
      </c>
      <c r="E48" s="206">
        <v>11</v>
      </c>
      <c r="F48" s="206">
        <v>1</v>
      </c>
      <c r="G48" s="206"/>
      <c r="H48" s="206"/>
      <c r="I48" s="206"/>
      <c r="J48" s="206"/>
      <c r="K48" s="206"/>
      <c r="L48" s="206"/>
      <c r="M48" s="206">
        <v>6</v>
      </c>
      <c r="N48" s="216">
        <v>7</v>
      </c>
      <c r="O48" s="207">
        <f t="shared" ref="O48:O55" si="5">SUM(C48:N48)</f>
        <v>44</v>
      </c>
    </row>
    <row r="49" spans="1:15" x14ac:dyDescent="0.25">
      <c r="A49" s="359"/>
      <c r="B49" s="208" t="s">
        <v>146</v>
      </c>
      <c r="C49" s="209">
        <f>60+194+150+97+83+286+200+197+108+254+91</f>
        <v>1720</v>
      </c>
      <c r="D49" s="210">
        <f>419+73+193+146+149+83+98+101</f>
        <v>1262</v>
      </c>
      <c r="E49" s="210">
        <f>156+81+167+95+113+46+163+81+194+78+82</f>
        <v>1256</v>
      </c>
      <c r="F49" s="210">
        <v>71</v>
      </c>
      <c r="G49" s="210"/>
      <c r="H49" s="210"/>
      <c r="I49" s="210"/>
      <c r="J49" s="210"/>
      <c r="K49" s="210"/>
      <c r="L49" s="210"/>
      <c r="M49" s="210">
        <f>353+351+88+459+116+95</f>
        <v>1462</v>
      </c>
      <c r="N49" s="217">
        <f>328+103+53+98+102+303+59</f>
        <v>1046</v>
      </c>
      <c r="O49" s="211">
        <f t="shared" si="5"/>
        <v>6817</v>
      </c>
    </row>
    <row r="50" spans="1:15" x14ac:dyDescent="0.25">
      <c r="A50" s="359"/>
      <c r="B50" s="208" t="s">
        <v>148</v>
      </c>
      <c r="C50" s="209">
        <f>32+177+92+92+92+216+176+177+92+216+91</f>
        <v>1453</v>
      </c>
      <c r="D50" s="210">
        <f>270+93+180+209+78+93+93+93</f>
        <v>1109</v>
      </c>
      <c r="E50" s="210">
        <f>77+92+77+92+91+31+91+91+177+177+177</f>
        <v>1173</v>
      </c>
      <c r="F50" s="210">
        <v>91</v>
      </c>
      <c r="G50" s="210"/>
      <c r="H50" s="210"/>
      <c r="I50" s="210"/>
      <c r="J50" s="210"/>
      <c r="K50" s="210"/>
      <c r="L50" s="210"/>
      <c r="M50" s="210">
        <f>191+189+92+350+77+92</f>
        <v>991</v>
      </c>
      <c r="N50" s="217">
        <f>200+92+33+79+93+209+38</f>
        <v>744</v>
      </c>
      <c r="O50" s="211">
        <f t="shared" si="5"/>
        <v>5561</v>
      </c>
    </row>
    <row r="51" spans="1:15" ht="16.5" thickBot="1" x14ac:dyDescent="0.3">
      <c r="A51" s="360"/>
      <c r="B51" s="212" t="s">
        <v>147</v>
      </c>
      <c r="C51" s="213">
        <f>+C49/C48</f>
        <v>156.36363636363637</v>
      </c>
      <c r="D51" s="214">
        <f>+D49/D48</f>
        <v>157.75</v>
      </c>
      <c r="E51" s="214">
        <f>+E49/E48</f>
        <v>114.18181818181819</v>
      </c>
      <c r="F51" s="214">
        <f>+F49/F48</f>
        <v>71</v>
      </c>
      <c r="G51" s="214"/>
      <c r="H51" s="214"/>
      <c r="I51" s="214"/>
      <c r="J51" s="214"/>
      <c r="K51" s="214"/>
      <c r="L51" s="214"/>
      <c r="M51" s="214">
        <f>+M49/M48</f>
        <v>243.66666666666666</v>
      </c>
      <c r="N51" s="214">
        <f>+N49/N48</f>
        <v>149.42857142857142</v>
      </c>
      <c r="O51" s="215">
        <f t="shared" si="5"/>
        <v>892.39069264069269</v>
      </c>
    </row>
    <row r="52" spans="1:15" x14ac:dyDescent="0.25">
      <c r="A52" s="358">
        <v>2016</v>
      </c>
      <c r="B52" s="204" t="s">
        <v>145</v>
      </c>
      <c r="C52" s="205">
        <v>8</v>
      </c>
      <c r="D52" s="206">
        <v>6</v>
      </c>
      <c r="E52" s="206">
        <v>5</v>
      </c>
      <c r="F52" s="206">
        <v>1</v>
      </c>
      <c r="G52" s="206"/>
      <c r="H52" s="206"/>
      <c r="I52" s="206"/>
      <c r="J52" s="206"/>
      <c r="K52" s="206"/>
      <c r="L52" s="206"/>
      <c r="M52" s="206">
        <v>1</v>
      </c>
      <c r="N52" s="216">
        <v>4</v>
      </c>
      <c r="O52" s="207">
        <f t="shared" si="5"/>
        <v>25</v>
      </c>
    </row>
    <row r="53" spans="1:15" x14ac:dyDescent="0.25">
      <c r="A53" s="359"/>
      <c r="B53" s="208" t="s">
        <v>146</v>
      </c>
      <c r="C53" s="209">
        <f>160+135+58+93+274+126+85+205</f>
        <v>1136</v>
      </c>
      <c r="D53" s="210">
        <f>149+98+92+151+102+82</f>
        <v>674</v>
      </c>
      <c r="E53" s="210">
        <f>163+280+150+87+110</f>
        <v>790</v>
      </c>
      <c r="F53" s="210">
        <v>101</v>
      </c>
      <c r="G53" s="210"/>
      <c r="H53" s="210"/>
      <c r="I53" s="210"/>
      <c r="J53" s="210"/>
      <c r="K53" s="210"/>
      <c r="L53" s="210"/>
      <c r="M53" s="210">
        <v>106</v>
      </c>
      <c r="N53" s="217">
        <f>172+124+98+99</f>
        <v>493</v>
      </c>
      <c r="O53" s="211">
        <f t="shared" si="5"/>
        <v>3300</v>
      </c>
    </row>
    <row r="54" spans="1:15" x14ac:dyDescent="0.25">
      <c r="A54" s="359"/>
      <c r="B54" s="208" t="s">
        <v>148</v>
      </c>
      <c r="C54" s="209">
        <f>79+73+34+94+205+78+92+206</f>
        <v>861</v>
      </c>
      <c r="D54" s="210">
        <f>75+92+94+73+92+60</f>
        <v>486</v>
      </c>
      <c r="E54" s="210">
        <f>76+194+78+61+92</f>
        <v>501</v>
      </c>
      <c r="F54" s="210">
        <v>91</v>
      </c>
      <c r="G54" s="210"/>
      <c r="H54" s="210"/>
      <c r="I54" s="210"/>
      <c r="J54" s="210"/>
      <c r="K54" s="210"/>
      <c r="L54" s="210"/>
      <c r="M54" s="210">
        <v>92</v>
      </c>
      <c r="N54" s="217">
        <f>74+74+96+96</f>
        <v>340</v>
      </c>
      <c r="O54" s="211">
        <f t="shared" si="5"/>
        <v>2371</v>
      </c>
    </row>
    <row r="55" spans="1:15" ht="16.5" thickBot="1" x14ac:dyDescent="0.3">
      <c r="A55" s="360"/>
      <c r="B55" s="212" t="s">
        <v>147</v>
      </c>
      <c r="C55" s="213">
        <f>+C53/C52</f>
        <v>142</v>
      </c>
      <c r="D55" s="214">
        <f>+D53/D52</f>
        <v>112.33333333333333</v>
      </c>
      <c r="E55" s="214">
        <f>+E53/E52</f>
        <v>158</v>
      </c>
      <c r="F55" s="214">
        <f>+F53/F52</f>
        <v>101</v>
      </c>
      <c r="G55" s="214"/>
      <c r="H55" s="214"/>
      <c r="I55" s="214"/>
      <c r="J55" s="214"/>
      <c r="K55" s="214"/>
      <c r="L55" s="214"/>
      <c r="M55" s="214">
        <f>+M53/M52</f>
        <v>106</v>
      </c>
      <c r="N55" s="214">
        <f>+N53/N52</f>
        <v>123.25</v>
      </c>
      <c r="O55" s="215">
        <f t="shared" si="5"/>
        <v>742.58333333333326</v>
      </c>
    </row>
    <row r="56" spans="1:15" x14ac:dyDescent="0.25">
      <c r="A56" s="358">
        <v>2017</v>
      </c>
      <c r="B56" s="204" t="s">
        <v>145</v>
      </c>
      <c r="C56" s="205">
        <v>4</v>
      </c>
      <c r="D56" s="206">
        <v>7</v>
      </c>
      <c r="E56" s="206"/>
      <c r="F56" s="206">
        <v>2</v>
      </c>
      <c r="G56" s="206"/>
      <c r="H56" s="206"/>
      <c r="I56" s="206"/>
      <c r="J56" s="206"/>
      <c r="K56" s="206"/>
      <c r="L56" s="206"/>
      <c r="M56" s="206"/>
      <c r="N56" s="216"/>
      <c r="O56" s="207">
        <f t="shared" ref="O56:O63" si="6">SUM(C56:N56)</f>
        <v>13</v>
      </c>
    </row>
    <row r="57" spans="1:15" x14ac:dyDescent="0.25">
      <c r="A57" s="359"/>
      <c r="B57" s="208" t="s">
        <v>146</v>
      </c>
      <c r="C57" s="209">
        <f>105+271+288+83</f>
        <v>747</v>
      </c>
      <c r="D57" s="210">
        <f>104+218+104+98+147+102+442</f>
        <v>1215</v>
      </c>
      <c r="E57" s="210"/>
      <c r="F57" s="210">
        <f>110+446</f>
        <v>556</v>
      </c>
      <c r="G57" s="210"/>
      <c r="H57" s="210"/>
      <c r="I57" s="210"/>
      <c r="J57" s="210"/>
      <c r="K57" s="210"/>
      <c r="L57" s="210"/>
      <c r="M57" s="210"/>
      <c r="N57" s="217"/>
      <c r="O57" s="211">
        <f t="shared" si="6"/>
        <v>2518</v>
      </c>
    </row>
    <row r="58" spans="1:15" x14ac:dyDescent="0.25">
      <c r="A58" s="359"/>
      <c r="B58" s="208" t="s">
        <v>148</v>
      </c>
      <c r="C58" s="209">
        <f>93+216+212+90</f>
        <v>611</v>
      </c>
      <c r="D58" s="210">
        <f>91+210+91+91+204+91+346</f>
        <v>1124</v>
      </c>
      <c r="E58" s="210"/>
      <c r="F58" s="210">
        <f>93+345</f>
        <v>438</v>
      </c>
      <c r="G58" s="210"/>
      <c r="H58" s="210"/>
      <c r="I58" s="210"/>
      <c r="J58" s="210"/>
      <c r="K58" s="210"/>
      <c r="L58" s="210"/>
      <c r="M58" s="210"/>
      <c r="N58" s="217"/>
      <c r="O58" s="211">
        <f t="shared" si="6"/>
        <v>2173</v>
      </c>
    </row>
    <row r="59" spans="1:15" ht="16.5" thickBot="1" x14ac:dyDescent="0.3">
      <c r="A59" s="360"/>
      <c r="B59" s="212" t="s">
        <v>147</v>
      </c>
      <c r="C59" s="213">
        <f>+C57/C56</f>
        <v>186.75</v>
      </c>
      <c r="D59" s="214">
        <f>+D57/D56</f>
        <v>173.57142857142858</v>
      </c>
      <c r="E59" s="214"/>
      <c r="F59" s="214">
        <f>+F57/F56</f>
        <v>278</v>
      </c>
      <c r="G59" s="214"/>
      <c r="H59" s="214"/>
      <c r="I59" s="214"/>
      <c r="J59" s="214"/>
      <c r="K59" s="214"/>
      <c r="L59" s="214"/>
      <c r="M59" s="214"/>
      <c r="N59" s="214"/>
      <c r="O59" s="215">
        <f t="shared" si="6"/>
        <v>638.32142857142856</v>
      </c>
    </row>
    <row r="60" spans="1:15" x14ac:dyDescent="0.25">
      <c r="A60" s="358">
        <v>2018</v>
      </c>
      <c r="B60" s="204" t="s">
        <v>145</v>
      </c>
      <c r="C60" s="205">
        <v>5</v>
      </c>
      <c r="D60" s="206">
        <v>8</v>
      </c>
      <c r="E60" s="206">
        <v>3</v>
      </c>
      <c r="F60" s="206"/>
      <c r="G60" s="206"/>
      <c r="H60" s="206"/>
      <c r="I60" s="206"/>
      <c r="J60" s="206"/>
      <c r="K60" s="206"/>
      <c r="L60" s="206"/>
      <c r="M60" s="206"/>
      <c r="N60" s="216"/>
      <c r="O60" s="207">
        <f t="shared" si="6"/>
        <v>16</v>
      </c>
    </row>
    <row r="61" spans="1:15" x14ac:dyDescent="0.25">
      <c r="A61" s="359"/>
      <c r="B61" s="208" t="s">
        <v>146</v>
      </c>
      <c r="C61" s="209">
        <f>99+98+103+313+265</f>
        <v>878</v>
      </c>
      <c r="D61" s="210">
        <f>342+107+105+88+95+89+81+69</f>
        <v>976</v>
      </c>
      <c r="E61" s="210">
        <f>150+74+81</f>
        <v>305</v>
      </c>
      <c r="F61" s="210"/>
      <c r="G61" s="210"/>
      <c r="H61" s="210"/>
      <c r="I61" s="210"/>
      <c r="J61" s="210"/>
      <c r="K61" s="210"/>
      <c r="L61" s="210"/>
      <c r="M61" s="210"/>
      <c r="N61" s="217"/>
      <c r="O61" s="211">
        <f t="shared" si="6"/>
        <v>2159</v>
      </c>
    </row>
    <row r="62" spans="1:15" x14ac:dyDescent="0.25">
      <c r="A62" s="359"/>
      <c r="B62" s="208" t="s">
        <v>148</v>
      </c>
      <c r="C62" s="209">
        <f>92+93+92+210+211</f>
        <v>698</v>
      </c>
      <c r="D62" s="210">
        <f>212+77+79+92+94+95+80+92</f>
        <v>821</v>
      </c>
      <c r="E62" s="210">
        <f>78+93+79</f>
        <v>250</v>
      </c>
      <c r="F62" s="210"/>
      <c r="G62" s="210"/>
      <c r="H62" s="210"/>
      <c r="I62" s="210"/>
      <c r="J62" s="210"/>
      <c r="K62" s="210"/>
      <c r="L62" s="210"/>
      <c r="M62" s="210"/>
      <c r="N62" s="217"/>
      <c r="O62" s="211">
        <f t="shared" si="6"/>
        <v>1769</v>
      </c>
    </row>
    <row r="63" spans="1:15" ht="16.5" thickBot="1" x14ac:dyDescent="0.3">
      <c r="A63" s="360"/>
      <c r="B63" s="212" t="s">
        <v>147</v>
      </c>
      <c r="C63" s="213">
        <f>+C61/C60</f>
        <v>175.6</v>
      </c>
      <c r="D63" s="213">
        <f>+D61/D60</f>
        <v>122</v>
      </c>
      <c r="E63" s="213">
        <f>+E61/E60</f>
        <v>101.66666666666667</v>
      </c>
      <c r="F63" s="214"/>
      <c r="G63" s="214"/>
      <c r="H63" s="214"/>
      <c r="I63" s="214"/>
      <c r="J63" s="214"/>
      <c r="K63" s="214"/>
      <c r="L63" s="214"/>
      <c r="M63" s="214"/>
      <c r="N63" s="214"/>
      <c r="O63" s="215">
        <f t="shared" si="6"/>
        <v>399.26666666666671</v>
      </c>
    </row>
    <row r="65" spans="1:1" ht="16.5" x14ac:dyDescent="0.3">
      <c r="A65" s="253" t="s">
        <v>221</v>
      </c>
    </row>
  </sheetData>
  <mergeCells count="17">
    <mergeCell ref="A60:A63"/>
    <mergeCell ref="A56:A59"/>
    <mergeCell ref="A21:A23"/>
    <mergeCell ref="A24:A27"/>
    <mergeCell ref="A1:O1"/>
    <mergeCell ref="A6:A8"/>
    <mergeCell ref="A9:A11"/>
    <mergeCell ref="A12:A14"/>
    <mergeCell ref="A15:A17"/>
    <mergeCell ref="A18:A20"/>
    <mergeCell ref="A28:A31"/>
    <mergeCell ref="A32:A35"/>
    <mergeCell ref="A36:A39"/>
    <mergeCell ref="A40:A43"/>
    <mergeCell ref="A52:A55"/>
    <mergeCell ref="A48:A51"/>
    <mergeCell ref="A44:A47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workbookViewId="0">
      <selection activeCell="F10" sqref="F10"/>
    </sheetView>
  </sheetViews>
  <sheetFormatPr defaultRowHeight="15.75" x14ac:dyDescent="0.25"/>
  <cols>
    <col min="1" max="1" width="2.5546875" customWidth="1"/>
    <col min="2" max="2" width="13.5546875" customWidth="1"/>
    <col min="7" max="8" width="10.21875" customWidth="1"/>
  </cols>
  <sheetData>
    <row r="2" spans="2:10" ht="17.25" x14ac:dyDescent="0.35">
      <c r="B2" s="243" t="s">
        <v>216</v>
      </c>
    </row>
    <row r="3" spans="2:10" ht="16.5" thickBot="1" x14ac:dyDescent="0.3"/>
    <row r="4" spans="2:10" ht="16.5" thickBot="1" x14ac:dyDescent="0.3">
      <c r="B4" s="362" t="s">
        <v>8</v>
      </c>
      <c r="C4" s="366">
        <v>2018</v>
      </c>
      <c r="D4" s="367"/>
      <c r="E4" s="367"/>
      <c r="F4" s="367"/>
      <c r="G4" s="367"/>
      <c r="H4" s="367"/>
      <c r="I4" s="367"/>
      <c r="J4" s="367"/>
    </row>
    <row r="5" spans="2:10" ht="16.5" thickBot="1" x14ac:dyDescent="0.3">
      <c r="B5" s="363"/>
      <c r="C5" s="364" t="s">
        <v>176</v>
      </c>
      <c r="D5" s="365"/>
      <c r="E5" s="364" t="s">
        <v>177</v>
      </c>
      <c r="F5" s="365"/>
      <c r="G5" s="364" t="s">
        <v>178</v>
      </c>
      <c r="H5" s="365"/>
      <c r="I5" s="364" t="s">
        <v>179</v>
      </c>
      <c r="J5" s="365"/>
    </row>
    <row r="6" spans="2:10" ht="16.5" thickBot="1" x14ac:dyDescent="0.3">
      <c r="B6" s="330"/>
      <c r="C6" s="331" t="s">
        <v>219</v>
      </c>
      <c r="D6" s="331" t="s">
        <v>220</v>
      </c>
      <c r="E6" s="331" t="s">
        <v>219</v>
      </c>
      <c r="F6" s="331" t="s">
        <v>220</v>
      </c>
      <c r="G6" s="331" t="s">
        <v>219</v>
      </c>
      <c r="H6" s="331" t="s">
        <v>220</v>
      </c>
      <c r="I6" s="331" t="s">
        <v>219</v>
      </c>
      <c r="J6" s="244" t="s">
        <v>220</v>
      </c>
    </row>
    <row r="7" spans="2:10" x14ac:dyDescent="0.25">
      <c r="B7" s="245" t="s">
        <v>180</v>
      </c>
      <c r="C7" s="246">
        <v>460</v>
      </c>
      <c r="D7" s="246">
        <v>457</v>
      </c>
      <c r="E7" s="246">
        <v>752</v>
      </c>
      <c r="F7" s="246">
        <v>762</v>
      </c>
      <c r="G7" s="246">
        <v>128</v>
      </c>
      <c r="H7" s="246">
        <v>120</v>
      </c>
      <c r="I7" s="246">
        <f>SUM(E7+G7)</f>
        <v>880</v>
      </c>
      <c r="J7" s="246">
        <f>SUM(F7+H7)</f>
        <v>882</v>
      </c>
    </row>
    <row r="8" spans="2:10" x14ac:dyDescent="0.25">
      <c r="B8" s="247" t="s">
        <v>157</v>
      </c>
      <c r="C8" s="248">
        <v>397</v>
      </c>
      <c r="D8" s="248">
        <v>402</v>
      </c>
      <c r="E8" s="248">
        <v>763</v>
      </c>
      <c r="F8" s="248">
        <v>766</v>
      </c>
      <c r="G8" s="248">
        <v>148</v>
      </c>
      <c r="H8" s="248">
        <v>146</v>
      </c>
      <c r="I8" s="248">
        <f t="shared" ref="I8:I18" si="0">SUM(E8+G8)</f>
        <v>911</v>
      </c>
      <c r="J8" s="248">
        <f t="shared" ref="J8:J18" si="1">SUM(F8+H8)</f>
        <v>912</v>
      </c>
    </row>
    <row r="9" spans="2:10" x14ac:dyDescent="0.25">
      <c r="B9" s="247" t="s">
        <v>181</v>
      </c>
      <c r="C9" s="248"/>
      <c r="D9" s="248"/>
      <c r="E9" s="248"/>
      <c r="F9" s="248"/>
      <c r="G9" s="248">
        <v>203</v>
      </c>
      <c r="H9" s="248">
        <v>209</v>
      </c>
      <c r="I9" s="248">
        <f t="shared" si="0"/>
        <v>203</v>
      </c>
      <c r="J9" s="248">
        <f t="shared" si="1"/>
        <v>209</v>
      </c>
    </row>
    <row r="10" spans="2:10" x14ac:dyDescent="0.25">
      <c r="B10" s="247" t="s">
        <v>182</v>
      </c>
      <c r="C10" s="248"/>
      <c r="D10" s="248"/>
      <c r="E10" s="248"/>
      <c r="F10" s="248"/>
      <c r="G10" s="248"/>
      <c r="H10" s="248"/>
      <c r="I10" s="248">
        <f t="shared" si="0"/>
        <v>0</v>
      </c>
      <c r="J10" s="248">
        <f t="shared" si="1"/>
        <v>0</v>
      </c>
    </row>
    <row r="11" spans="2:10" x14ac:dyDescent="0.25">
      <c r="B11" s="247" t="s">
        <v>183</v>
      </c>
      <c r="C11" s="248"/>
      <c r="D11" s="248"/>
      <c r="E11" s="248"/>
      <c r="F11" s="248"/>
      <c r="G11" s="248"/>
      <c r="H11" s="248"/>
      <c r="I11" s="248">
        <f t="shared" si="0"/>
        <v>0</v>
      </c>
      <c r="J11" s="248">
        <f t="shared" si="1"/>
        <v>0</v>
      </c>
    </row>
    <row r="12" spans="2:10" x14ac:dyDescent="0.25">
      <c r="B12" s="247" t="s">
        <v>15</v>
      </c>
      <c r="C12" s="248"/>
      <c r="D12" s="248"/>
      <c r="E12" s="248"/>
      <c r="F12" s="248"/>
      <c r="G12" s="248"/>
      <c r="H12" s="248"/>
      <c r="I12" s="248">
        <f t="shared" si="0"/>
        <v>0</v>
      </c>
      <c r="J12" s="248">
        <f t="shared" si="1"/>
        <v>0</v>
      </c>
    </row>
    <row r="13" spans="2:10" x14ac:dyDescent="0.25">
      <c r="B13" s="247" t="s">
        <v>17</v>
      </c>
      <c r="C13" s="248"/>
      <c r="D13" s="248"/>
      <c r="E13" s="248"/>
      <c r="F13" s="248"/>
      <c r="G13" s="248"/>
      <c r="H13" s="248"/>
      <c r="I13" s="248">
        <f t="shared" si="0"/>
        <v>0</v>
      </c>
      <c r="J13" s="248">
        <f t="shared" si="1"/>
        <v>0</v>
      </c>
    </row>
    <row r="14" spans="2:10" x14ac:dyDescent="0.25">
      <c r="B14" s="247" t="s">
        <v>18</v>
      </c>
      <c r="C14" s="248"/>
      <c r="D14" s="248"/>
      <c r="E14" s="248"/>
      <c r="F14" s="248"/>
      <c r="G14" s="248"/>
      <c r="H14" s="248"/>
      <c r="I14" s="248">
        <f t="shared" si="0"/>
        <v>0</v>
      </c>
      <c r="J14" s="248">
        <f t="shared" si="1"/>
        <v>0</v>
      </c>
    </row>
    <row r="15" spans="2:10" x14ac:dyDescent="0.25">
      <c r="B15" s="247" t="s">
        <v>159</v>
      </c>
      <c r="C15" s="248"/>
      <c r="D15" s="248"/>
      <c r="E15" s="248"/>
      <c r="F15" s="248"/>
      <c r="G15" s="248"/>
      <c r="H15" s="248"/>
      <c r="I15" s="248">
        <f t="shared" si="0"/>
        <v>0</v>
      </c>
      <c r="J15" s="248">
        <f t="shared" si="1"/>
        <v>0</v>
      </c>
    </row>
    <row r="16" spans="2:10" x14ac:dyDescent="0.25">
      <c r="B16" s="247" t="s">
        <v>161</v>
      </c>
      <c r="C16" s="248"/>
      <c r="D16" s="248"/>
      <c r="E16" s="248"/>
      <c r="F16" s="248"/>
      <c r="G16" s="248"/>
      <c r="H16" s="248"/>
      <c r="I16" s="248">
        <f t="shared" si="0"/>
        <v>0</v>
      </c>
      <c r="J16" s="248">
        <f t="shared" si="1"/>
        <v>0</v>
      </c>
    </row>
    <row r="17" spans="2:10" x14ac:dyDescent="0.25">
      <c r="B17" s="247" t="s">
        <v>162</v>
      </c>
      <c r="C17" s="248"/>
      <c r="D17" s="248"/>
      <c r="E17" s="248"/>
      <c r="F17" s="248"/>
      <c r="G17" s="248"/>
      <c r="H17" s="248"/>
      <c r="I17" s="248">
        <f t="shared" si="0"/>
        <v>0</v>
      </c>
      <c r="J17" s="248">
        <f t="shared" si="1"/>
        <v>0</v>
      </c>
    </row>
    <row r="18" spans="2:10" ht="16.5" thickBot="1" x14ac:dyDescent="0.3">
      <c r="B18" s="249" t="s">
        <v>163</v>
      </c>
      <c r="C18" s="250"/>
      <c r="D18" s="250"/>
      <c r="E18" s="250"/>
      <c r="F18" s="250"/>
      <c r="G18" s="250"/>
      <c r="H18" s="250"/>
      <c r="I18" s="250">
        <f t="shared" si="0"/>
        <v>0</v>
      </c>
      <c r="J18" s="250">
        <f t="shared" si="1"/>
        <v>0</v>
      </c>
    </row>
    <row r="19" spans="2:10" ht="16.5" thickBot="1" x14ac:dyDescent="0.3">
      <c r="B19" s="251" t="s">
        <v>31</v>
      </c>
      <c r="C19" s="252">
        <f>SUM(C7:C18)</f>
        <v>857</v>
      </c>
      <c r="D19" s="252"/>
      <c r="E19" s="252">
        <f>SUM(E7:E18)</f>
        <v>1515</v>
      </c>
      <c r="F19" s="252"/>
      <c r="G19" s="252">
        <f>SUM(G7:G18)</f>
        <v>479</v>
      </c>
      <c r="H19" s="252"/>
      <c r="I19" s="252">
        <f>SUM(I7:I18)</f>
        <v>1994</v>
      </c>
      <c r="J19" s="252"/>
    </row>
    <row r="21" spans="2:10" ht="16.5" x14ac:dyDescent="0.3">
      <c r="B21" s="253" t="s">
        <v>217</v>
      </c>
    </row>
  </sheetData>
  <mergeCells count="6">
    <mergeCell ref="B4:B5"/>
    <mergeCell ref="C5:D5"/>
    <mergeCell ref="E5:F5"/>
    <mergeCell ref="G5:H5"/>
    <mergeCell ref="I5:J5"/>
    <mergeCell ref="C4:J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6"/>
  <sheetViews>
    <sheetView topLeftCell="A58" workbookViewId="0">
      <selection activeCell="G81" sqref="G81"/>
    </sheetView>
  </sheetViews>
  <sheetFormatPr defaultRowHeight="15.75" x14ac:dyDescent="0.25"/>
  <cols>
    <col min="2" max="2" width="27.77734375" bestFit="1" customWidth="1"/>
    <col min="3" max="3" width="10.6640625" customWidth="1"/>
    <col min="4" max="4" width="14.77734375" bestFit="1" customWidth="1"/>
    <col min="5" max="5" width="7.44140625" bestFit="1" customWidth="1"/>
    <col min="7" max="7" width="27.77734375" bestFit="1" customWidth="1"/>
    <col min="8" max="8" width="11.21875" bestFit="1" customWidth="1"/>
    <col min="9" max="9" width="14.77734375" bestFit="1" customWidth="1"/>
  </cols>
  <sheetData>
    <row r="2" spans="2:10" x14ac:dyDescent="0.25">
      <c r="B2" s="368" t="s">
        <v>222</v>
      </c>
      <c r="C2" s="368"/>
      <c r="D2" s="368"/>
      <c r="G2" s="368" t="s">
        <v>223</v>
      </c>
      <c r="H2" s="368"/>
    </row>
    <row r="3" spans="2:10" ht="6" customHeight="1" x14ac:dyDescent="0.25"/>
    <row r="4" spans="2:10" x14ac:dyDescent="0.25">
      <c r="B4" s="338">
        <v>43101</v>
      </c>
    </row>
    <row r="5" spans="2:10" x14ac:dyDescent="0.25">
      <c r="B5" s="332" t="s">
        <v>224</v>
      </c>
      <c r="C5" s="335" t="s">
        <v>241</v>
      </c>
      <c r="D5" s="335" t="s">
        <v>242</v>
      </c>
      <c r="E5" s="336" t="s">
        <v>0</v>
      </c>
      <c r="G5" s="333" t="s">
        <v>224</v>
      </c>
      <c r="H5" s="335" t="s">
        <v>241</v>
      </c>
      <c r="I5" s="335" t="s">
        <v>242</v>
      </c>
      <c r="J5" s="336" t="s">
        <v>0</v>
      </c>
    </row>
    <row r="6" spans="2:10" x14ac:dyDescent="0.25">
      <c r="B6" t="s">
        <v>225</v>
      </c>
      <c r="C6" s="334">
        <v>1071</v>
      </c>
      <c r="D6" s="334">
        <v>1166</v>
      </c>
      <c r="E6" s="336">
        <f>C6+D6</f>
        <v>2237</v>
      </c>
      <c r="G6" t="s">
        <v>225</v>
      </c>
      <c r="H6" s="334">
        <v>65</v>
      </c>
      <c r="I6" s="334">
        <v>66</v>
      </c>
      <c r="J6" s="336">
        <f t="shared" ref="J6:J13" si="0">H6+I6</f>
        <v>131</v>
      </c>
    </row>
    <row r="7" spans="2:10" x14ac:dyDescent="0.25">
      <c r="B7" t="s">
        <v>226</v>
      </c>
      <c r="C7" s="334">
        <v>1074</v>
      </c>
      <c r="D7" s="334">
        <v>873</v>
      </c>
      <c r="E7" s="336">
        <f>C7+D7</f>
        <v>1947</v>
      </c>
      <c r="G7" t="s">
        <v>226</v>
      </c>
      <c r="H7" s="334">
        <v>55</v>
      </c>
      <c r="I7" s="334">
        <v>55</v>
      </c>
      <c r="J7" s="336">
        <f t="shared" si="0"/>
        <v>110</v>
      </c>
    </row>
    <row r="8" spans="2:10" x14ac:dyDescent="0.25">
      <c r="B8" t="s">
        <v>227</v>
      </c>
      <c r="C8" s="334">
        <v>1207</v>
      </c>
      <c r="D8" s="334">
        <v>1113</v>
      </c>
      <c r="E8" s="336">
        <f>C8+D8</f>
        <v>2320</v>
      </c>
      <c r="G8" t="s">
        <v>227</v>
      </c>
      <c r="H8" s="334">
        <v>67</v>
      </c>
      <c r="I8" s="334">
        <v>67</v>
      </c>
      <c r="J8" s="336">
        <f t="shared" si="0"/>
        <v>134</v>
      </c>
    </row>
    <row r="9" spans="2:10" x14ac:dyDescent="0.25">
      <c r="B9" t="s">
        <v>228</v>
      </c>
      <c r="C9" s="334">
        <v>670</v>
      </c>
      <c r="D9" s="334">
        <v>663</v>
      </c>
      <c r="E9" s="336">
        <f>C9+D9</f>
        <v>1333</v>
      </c>
      <c r="G9" t="s">
        <v>228</v>
      </c>
      <c r="H9" s="334">
        <v>40</v>
      </c>
      <c r="I9" s="334">
        <v>40</v>
      </c>
      <c r="J9" s="336">
        <f t="shared" si="0"/>
        <v>80</v>
      </c>
    </row>
    <row r="10" spans="2:10" x14ac:dyDescent="0.25">
      <c r="B10" t="s">
        <v>229</v>
      </c>
      <c r="C10" s="334">
        <v>309</v>
      </c>
      <c r="D10" s="334">
        <v>298</v>
      </c>
      <c r="E10" s="336">
        <f>C10+D10</f>
        <v>607</v>
      </c>
      <c r="G10" t="s">
        <v>229</v>
      </c>
      <c r="H10" s="334">
        <v>20</v>
      </c>
      <c r="I10" s="334">
        <v>20</v>
      </c>
      <c r="J10" s="336">
        <f t="shared" si="0"/>
        <v>40</v>
      </c>
    </row>
    <row r="11" spans="2:10" x14ac:dyDescent="0.25">
      <c r="B11" t="s">
        <v>230</v>
      </c>
      <c r="C11" s="334"/>
      <c r="D11" s="334"/>
      <c r="E11" s="336"/>
      <c r="G11" t="s">
        <v>230</v>
      </c>
      <c r="H11" s="334"/>
      <c r="I11" s="334"/>
      <c r="J11" s="336">
        <f t="shared" si="0"/>
        <v>0</v>
      </c>
    </row>
    <row r="12" spans="2:10" x14ac:dyDescent="0.25">
      <c r="B12" t="s">
        <v>231</v>
      </c>
      <c r="C12" s="334"/>
      <c r="D12" s="334"/>
      <c r="E12" s="336"/>
      <c r="G12" t="s">
        <v>231</v>
      </c>
      <c r="H12" s="334">
        <v>2</v>
      </c>
      <c r="I12" s="334">
        <v>2</v>
      </c>
      <c r="J12" s="336">
        <f t="shared" si="0"/>
        <v>4</v>
      </c>
    </row>
    <row r="13" spans="2:10" x14ac:dyDescent="0.25">
      <c r="B13" t="s">
        <v>232</v>
      </c>
      <c r="C13" s="334">
        <v>1104</v>
      </c>
      <c r="D13" s="334">
        <v>1010</v>
      </c>
      <c r="E13" s="336">
        <f>C13+D13</f>
        <v>2114</v>
      </c>
      <c r="G13" t="s">
        <v>232</v>
      </c>
      <c r="H13" s="334">
        <v>63</v>
      </c>
      <c r="I13" s="334">
        <v>63</v>
      </c>
      <c r="J13" s="336">
        <f t="shared" si="0"/>
        <v>126</v>
      </c>
    </row>
    <row r="15" spans="2:10" x14ac:dyDescent="0.25">
      <c r="B15" s="332" t="s">
        <v>233</v>
      </c>
      <c r="G15" s="337" t="s">
        <v>233</v>
      </c>
    </row>
    <row r="16" spans="2:10" x14ac:dyDescent="0.25">
      <c r="B16" t="s">
        <v>234</v>
      </c>
      <c r="C16" s="334">
        <v>527</v>
      </c>
      <c r="D16" s="334">
        <v>557</v>
      </c>
      <c r="E16" s="336">
        <f t="shared" ref="E16:E22" si="1">C16+D16</f>
        <v>1084</v>
      </c>
      <c r="G16" t="s">
        <v>234</v>
      </c>
      <c r="H16" s="334">
        <v>101</v>
      </c>
      <c r="I16" s="334">
        <v>100</v>
      </c>
      <c r="J16" s="336">
        <f t="shared" ref="J16:J22" si="2">H16+I16</f>
        <v>201</v>
      </c>
    </row>
    <row r="17" spans="2:10" x14ac:dyDescent="0.25">
      <c r="B17" t="s">
        <v>235</v>
      </c>
      <c r="C17" s="334">
        <v>460</v>
      </c>
      <c r="D17" s="334">
        <v>397</v>
      </c>
      <c r="E17" s="336">
        <f t="shared" si="1"/>
        <v>857</v>
      </c>
      <c r="G17" t="s">
        <v>235</v>
      </c>
      <c r="H17" s="334">
        <v>93</v>
      </c>
      <c r="I17" s="334">
        <v>93</v>
      </c>
      <c r="J17" s="336">
        <f t="shared" si="2"/>
        <v>186</v>
      </c>
    </row>
    <row r="18" spans="2:10" x14ac:dyDescent="0.25">
      <c r="B18" t="s">
        <v>236</v>
      </c>
      <c r="C18" s="334">
        <v>7</v>
      </c>
      <c r="D18" s="334">
        <v>12</v>
      </c>
      <c r="E18" s="336">
        <f t="shared" si="1"/>
        <v>19</v>
      </c>
      <c r="G18" t="s">
        <v>236</v>
      </c>
      <c r="H18" s="334">
        <v>4</v>
      </c>
      <c r="I18" s="334">
        <v>4</v>
      </c>
      <c r="J18" s="336">
        <f t="shared" si="2"/>
        <v>8</v>
      </c>
    </row>
    <row r="19" spans="2:10" x14ac:dyDescent="0.25">
      <c r="B19" t="s">
        <v>237</v>
      </c>
      <c r="C19" s="334">
        <v>403</v>
      </c>
      <c r="D19" s="334">
        <v>339</v>
      </c>
      <c r="E19" s="336">
        <f t="shared" si="1"/>
        <v>742</v>
      </c>
      <c r="G19" t="s">
        <v>237</v>
      </c>
      <c r="H19" s="334">
        <v>89</v>
      </c>
      <c r="I19" s="334">
        <v>89</v>
      </c>
      <c r="J19" s="336">
        <f t="shared" si="2"/>
        <v>178</v>
      </c>
    </row>
    <row r="20" spans="2:10" x14ac:dyDescent="0.25">
      <c r="B20" t="s">
        <v>238</v>
      </c>
      <c r="C20" s="334">
        <v>342</v>
      </c>
      <c r="D20" s="334">
        <v>366</v>
      </c>
      <c r="E20" s="336">
        <f t="shared" si="1"/>
        <v>708</v>
      </c>
      <c r="G20" t="s">
        <v>238</v>
      </c>
      <c r="H20" s="334">
        <v>79</v>
      </c>
      <c r="I20" s="334">
        <v>79</v>
      </c>
      <c r="J20" s="336">
        <f t="shared" si="2"/>
        <v>158</v>
      </c>
    </row>
    <row r="21" spans="2:10" x14ac:dyDescent="0.25">
      <c r="B21" t="s">
        <v>239</v>
      </c>
      <c r="C21" s="334"/>
      <c r="D21" s="334"/>
      <c r="E21" s="336">
        <f t="shared" si="1"/>
        <v>0</v>
      </c>
      <c r="G21" t="s">
        <v>239</v>
      </c>
      <c r="H21" s="334"/>
      <c r="I21" s="334"/>
      <c r="J21" s="336">
        <f t="shared" si="2"/>
        <v>0</v>
      </c>
    </row>
    <row r="22" spans="2:10" x14ac:dyDescent="0.25">
      <c r="B22" t="s">
        <v>240</v>
      </c>
      <c r="C22" s="334">
        <v>376</v>
      </c>
      <c r="D22" s="334">
        <v>357</v>
      </c>
      <c r="E22" s="336">
        <f t="shared" si="1"/>
        <v>733</v>
      </c>
      <c r="G22" t="s">
        <v>240</v>
      </c>
      <c r="H22" s="334">
        <v>74</v>
      </c>
      <c r="I22" s="334">
        <v>84</v>
      </c>
      <c r="J22" s="336">
        <f t="shared" si="2"/>
        <v>158</v>
      </c>
    </row>
    <row r="25" spans="2:10" x14ac:dyDescent="0.25">
      <c r="B25" t="s">
        <v>243</v>
      </c>
      <c r="C25">
        <f>SUM(C6:C22)</f>
        <v>7550</v>
      </c>
      <c r="D25">
        <f>SUM(D6:D22)</f>
        <v>7151</v>
      </c>
      <c r="E25">
        <f>SUM(E6:E22)</f>
        <v>14701</v>
      </c>
      <c r="G25" t="s">
        <v>243</v>
      </c>
      <c r="H25">
        <f>SUM(H6:H22)</f>
        <v>752</v>
      </c>
      <c r="I25">
        <f>SUM(I6:I22)</f>
        <v>762</v>
      </c>
      <c r="J25">
        <f>SUM(J6:J22)</f>
        <v>1514</v>
      </c>
    </row>
    <row r="29" spans="2:10" x14ac:dyDescent="0.25">
      <c r="B29" s="368" t="s">
        <v>222</v>
      </c>
      <c r="C29" s="368"/>
      <c r="D29" s="368"/>
      <c r="G29" s="368" t="s">
        <v>223</v>
      </c>
      <c r="H29" s="368"/>
    </row>
    <row r="30" spans="2:10" ht="6.75" customHeight="1" x14ac:dyDescent="0.25"/>
    <row r="31" spans="2:10" x14ac:dyDescent="0.25">
      <c r="B31" s="338">
        <v>43132</v>
      </c>
    </row>
    <row r="32" spans="2:10" x14ac:dyDescent="0.25">
      <c r="B32" s="332" t="s">
        <v>224</v>
      </c>
      <c r="C32" s="335" t="s">
        <v>241</v>
      </c>
      <c r="D32" s="335" t="s">
        <v>242</v>
      </c>
      <c r="E32" s="336" t="s">
        <v>0</v>
      </c>
      <c r="G32" s="333" t="s">
        <v>224</v>
      </c>
      <c r="H32" s="335" t="s">
        <v>241</v>
      </c>
      <c r="I32" s="335" t="s">
        <v>242</v>
      </c>
      <c r="J32" s="336" t="s">
        <v>0</v>
      </c>
    </row>
    <row r="33" spans="2:10" x14ac:dyDescent="0.25">
      <c r="B33" t="s">
        <v>225</v>
      </c>
      <c r="C33" s="334">
        <v>1164</v>
      </c>
      <c r="D33" s="334">
        <v>1129</v>
      </c>
      <c r="E33" s="336">
        <f>C33+D33</f>
        <v>2293</v>
      </c>
      <c r="G33" t="s">
        <v>225</v>
      </c>
      <c r="H33" s="334">
        <v>63</v>
      </c>
      <c r="I33" s="334">
        <v>63</v>
      </c>
      <c r="J33" s="336">
        <f>H33+I33</f>
        <v>126</v>
      </c>
    </row>
    <row r="34" spans="2:10" x14ac:dyDescent="0.25">
      <c r="B34" t="s">
        <v>226</v>
      </c>
      <c r="C34" s="334">
        <v>1561</v>
      </c>
      <c r="D34" s="334">
        <v>1368</v>
      </c>
      <c r="E34" s="336">
        <f>C34+D34</f>
        <v>2929</v>
      </c>
      <c r="G34" t="s">
        <v>226</v>
      </c>
      <c r="H34" s="334">
        <v>67</v>
      </c>
      <c r="I34" s="334">
        <v>67</v>
      </c>
      <c r="J34" s="336">
        <f t="shared" ref="J34:J49" si="3">H34+I34</f>
        <v>134</v>
      </c>
    </row>
    <row r="35" spans="2:10" x14ac:dyDescent="0.25">
      <c r="B35" t="s">
        <v>227</v>
      </c>
      <c r="C35" s="334">
        <v>1450</v>
      </c>
      <c r="D35" s="334">
        <v>1255</v>
      </c>
      <c r="E35" s="336">
        <f>C35+D35</f>
        <v>2705</v>
      </c>
      <c r="G35" t="s">
        <v>227</v>
      </c>
      <c r="H35" s="334">
        <v>68</v>
      </c>
      <c r="I35" s="334">
        <v>68</v>
      </c>
      <c r="J35" s="336">
        <f t="shared" si="3"/>
        <v>136</v>
      </c>
    </row>
    <row r="36" spans="2:10" x14ac:dyDescent="0.25">
      <c r="B36" t="s">
        <v>228</v>
      </c>
      <c r="C36" s="334">
        <v>987</v>
      </c>
      <c r="D36" s="334">
        <v>1030</v>
      </c>
      <c r="E36" s="336">
        <f>C36+D36</f>
        <v>2017</v>
      </c>
      <c r="G36" t="s">
        <v>228</v>
      </c>
      <c r="H36" s="334">
        <v>66</v>
      </c>
      <c r="I36" s="334">
        <v>66</v>
      </c>
      <c r="J36" s="336">
        <f t="shared" si="3"/>
        <v>132</v>
      </c>
    </row>
    <row r="37" spans="2:10" x14ac:dyDescent="0.25">
      <c r="B37" t="s">
        <v>229</v>
      </c>
      <c r="C37" s="334"/>
      <c r="D37" s="334"/>
      <c r="E37" s="336"/>
      <c r="G37" t="s">
        <v>229</v>
      </c>
      <c r="H37" s="334">
        <v>1</v>
      </c>
      <c r="I37" s="334">
        <v>2</v>
      </c>
      <c r="J37" s="336">
        <f t="shared" si="3"/>
        <v>3</v>
      </c>
    </row>
    <row r="38" spans="2:10" x14ac:dyDescent="0.25">
      <c r="B38" t="s">
        <v>230</v>
      </c>
      <c r="C38" s="334"/>
      <c r="D38" s="334"/>
      <c r="E38" s="336"/>
      <c r="G38" t="s">
        <v>230</v>
      </c>
      <c r="H38" s="334">
        <v>0</v>
      </c>
      <c r="I38" s="334">
        <v>0</v>
      </c>
      <c r="J38" s="336">
        <f t="shared" si="3"/>
        <v>0</v>
      </c>
    </row>
    <row r="39" spans="2:10" x14ac:dyDescent="0.25">
      <c r="B39" t="s">
        <v>231</v>
      </c>
      <c r="C39" s="334"/>
      <c r="D39" s="334"/>
      <c r="E39" s="336"/>
      <c r="G39" t="s">
        <v>231</v>
      </c>
      <c r="H39" s="334">
        <v>2</v>
      </c>
      <c r="I39" s="334">
        <v>1</v>
      </c>
      <c r="J39" s="336">
        <f t="shared" si="3"/>
        <v>3</v>
      </c>
    </row>
    <row r="40" spans="2:10" x14ac:dyDescent="0.25">
      <c r="B40" t="s">
        <v>232</v>
      </c>
      <c r="C40" s="334">
        <v>170</v>
      </c>
      <c r="D40" s="334">
        <v>209</v>
      </c>
      <c r="E40" s="336">
        <f>C40+D40</f>
        <v>379</v>
      </c>
      <c r="G40" t="s">
        <v>232</v>
      </c>
      <c r="H40" s="334">
        <v>19</v>
      </c>
      <c r="I40" s="334">
        <v>20</v>
      </c>
      <c r="J40" s="336">
        <f t="shared" si="3"/>
        <v>39</v>
      </c>
    </row>
    <row r="42" spans="2:10" x14ac:dyDescent="0.25">
      <c r="B42" s="332" t="s">
        <v>233</v>
      </c>
      <c r="G42" s="337" t="s">
        <v>233</v>
      </c>
    </row>
    <row r="43" spans="2:10" x14ac:dyDescent="0.25">
      <c r="B43" t="s">
        <v>234</v>
      </c>
      <c r="C43" s="334">
        <v>478</v>
      </c>
      <c r="D43" s="334">
        <v>565</v>
      </c>
      <c r="E43" s="336">
        <f t="shared" ref="E43:E49" si="4">C43+D43</f>
        <v>1043</v>
      </c>
      <c r="G43" t="s">
        <v>234</v>
      </c>
      <c r="H43" s="334">
        <v>111</v>
      </c>
      <c r="I43" s="334">
        <v>111</v>
      </c>
      <c r="J43" s="336">
        <f t="shared" si="3"/>
        <v>222</v>
      </c>
    </row>
    <row r="44" spans="2:10" x14ac:dyDescent="0.25">
      <c r="B44" t="s">
        <v>235</v>
      </c>
      <c r="C44" s="334">
        <v>563</v>
      </c>
      <c r="D44" s="334">
        <v>557</v>
      </c>
      <c r="E44" s="336">
        <f t="shared" si="4"/>
        <v>1120</v>
      </c>
      <c r="G44" t="s">
        <v>235</v>
      </c>
      <c r="H44" s="334">
        <v>112</v>
      </c>
      <c r="I44" s="334">
        <v>112</v>
      </c>
      <c r="J44" s="336">
        <f t="shared" si="3"/>
        <v>224</v>
      </c>
    </row>
    <row r="45" spans="2:10" x14ac:dyDescent="0.25">
      <c r="B45" t="s">
        <v>236</v>
      </c>
      <c r="C45" s="334">
        <v>35</v>
      </c>
      <c r="D45" s="334">
        <v>25</v>
      </c>
      <c r="E45" s="336">
        <f t="shared" si="4"/>
        <v>60</v>
      </c>
      <c r="G45" t="s">
        <v>236</v>
      </c>
      <c r="H45" s="334">
        <v>13</v>
      </c>
      <c r="I45" s="334">
        <v>11</v>
      </c>
      <c r="J45" s="336">
        <f t="shared" si="3"/>
        <v>24</v>
      </c>
    </row>
    <row r="46" spans="2:10" x14ac:dyDescent="0.25">
      <c r="B46" t="s">
        <v>237</v>
      </c>
      <c r="C46" s="334">
        <v>478</v>
      </c>
      <c r="D46" s="334">
        <v>469</v>
      </c>
      <c r="E46" s="336">
        <f t="shared" si="4"/>
        <v>947</v>
      </c>
      <c r="G46" t="s">
        <v>237</v>
      </c>
      <c r="H46" s="334">
        <v>88</v>
      </c>
      <c r="I46" s="334">
        <v>89</v>
      </c>
      <c r="J46" s="336">
        <f t="shared" si="3"/>
        <v>177</v>
      </c>
    </row>
    <row r="47" spans="2:10" x14ac:dyDescent="0.25">
      <c r="B47" t="s">
        <v>238</v>
      </c>
      <c r="C47" s="334">
        <v>244</v>
      </c>
      <c r="D47" s="334">
        <v>344</v>
      </c>
      <c r="E47" s="336">
        <f t="shared" si="4"/>
        <v>588</v>
      </c>
      <c r="G47" t="s">
        <v>238</v>
      </c>
      <c r="H47" s="334">
        <v>74</v>
      </c>
      <c r="I47" s="334">
        <v>74</v>
      </c>
      <c r="J47" s="336">
        <f t="shared" si="3"/>
        <v>148</v>
      </c>
    </row>
    <row r="48" spans="2:10" x14ac:dyDescent="0.25">
      <c r="B48" t="s">
        <v>239</v>
      </c>
      <c r="C48" s="334">
        <v>0</v>
      </c>
      <c r="D48" s="334">
        <v>0</v>
      </c>
      <c r="E48" s="336">
        <f t="shared" si="4"/>
        <v>0</v>
      </c>
      <c r="G48" t="s">
        <v>239</v>
      </c>
      <c r="H48" s="334"/>
      <c r="I48" s="334"/>
      <c r="J48" s="336">
        <f t="shared" si="3"/>
        <v>0</v>
      </c>
    </row>
    <row r="49" spans="2:10" x14ac:dyDescent="0.25">
      <c r="B49" t="s">
        <v>240</v>
      </c>
      <c r="C49" s="334">
        <v>426</v>
      </c>
      <c r="D49" s="334">
        <v>429</v>
      </c>
      <c r="E49" s="336">
        <f t="shared" si="4"/>
        <v>855</v>
      </c>
      <c r="G49" t="s">
        <v>240</v>
      </c>
      <c r="H49" s="334">
        <v>79</v>
      </c>
      <c r="I49" s="334">
        <v>82</v>
      </c>
      <c r="J49" s="336">
        <f t="shared" si="3"/>
        <v>161</v>
      </c>
    </row>
    <row r="51" spans="2:10" ht="3.75" customHeight="1" x14ac:dyDescent="0.25"/>
    <row r="52" spans="2:10" x14ac:dyDescent="0.25">
      <c r="B52" t="s">
        <v>243</v>
      </c>
      <c r="C52">
        <f>SUM(C33:C49)</f>
        <v>7556</v>
      </c>
      <c r="D52">
        <f>SUM(D33:D49)</f>
        <v>7380</v>
      </c>
      <c r="E52">
        <f>SUM(E33:E49)</f>
        <v>14936</v>
      </c>
      <c r="G52" t="s">
        <v>243</v>
      </c>
      <c r="H52">
        <f>SUM(H33:H49)</f>
        <v>763</v>
      </c>
      <c r="I52">
        <f>SUM(I33:I49)</f>
        <v>766</v>
      </c>
      <c r="J52">
        <f>SUM(J33:J49)</f>
        <v>1529</v>
      </c>
    </row>
    <row r="56" spans="2:10" x14ac:dyDescent="0.25">
      <c r="B56" s="368" t="s">
        <v>222</v>
      </c>
      <c r="C56" s="368"/>
      <c r="D56" s="368"/>
      <c r="G56" s="368" t="s">
        <v>223</v>
      </c>
      <c r="H56" s="368"/>
    </row>
    <row r="58" spans="2:10" x14ac:dyDescent="0.25">
      <c r="B58" s="338">
        <v>43160</v>
      </c>
    </row>
    <row r="59" spans="2:10" x14ac:dyDescent="0.25">
      <c r="B59" s="332" t="s">
        <v>224</v>
      </c>
      <c r="C59" s="335" t="s">
        <v>241</v>
      </c>
      <c r="D59" s="335" t="s">
        <v>242</v>
      </c>
      <c r="E59" s="336" t="s">
        <v>0</v>
      </c>
      <c r="G59" s="333" t="s">
        <v>224</v>
      </c>
      <c r="H59" s="335" t="s">
        <v>241</v>
      </c>
      <c r="I59" s="335" t="s">
        <v>242</v>
      </c>
      <c r="J59" s="336" t="s">
        <v>0</v>
      </c>
    </row>
    <row r="60" spans="2:10" x14ac:dyDescent="0.25">
      <c r="B60" t="s">
        <v>225</v>
      </c>
      <c r="C60" s="334">
        <v>932</v>
      </c>
      <c r="D60" s="334">
        <v>966</v>
      </c>
      <c r="E60" s="336">
        <f t="shared" ref="E60:E67" si="5">C60+D60</f>
        <v>1898</v>
      </c>
      <c r="G60" t="s">
        <v>225</v>
      </c>
      <c r="H60" s="334">
        <v>50</v>
      </c>
      <c r="I60" s="334">
        <v>52</v>
      </c>
      <c r="J60" s="336">
        <f t="shared" ref="J60:J67" si="6">H60+I60</f>
        <v>102</v>
      </c>
    </row>
    <row r="61" spans="2:10" x14ac:dyDescent="0.25">
      <c r="B61" t="s">
        <v>226</v>
      </c>
      <c r="C61" s="334">
        <v>1454</v>
      </c>
      <c r="D61" s="334">
        <v>916</v>
      </c>
      <c r="E61" s="336">
        <f t="shared" si="5"/>
        <v>2370</v>
      </c>
      <c r="G61" t="s">
        <v>226</v>
      </c>
      <c r="H61" s="334">
        <v>56</v>
      </c>
      <c r="I61" s="334">
        <v>56</v>
      </c>
      <c r="J61" s="336">
        <f t="shared" si="6"/>
        <v>112</v>
      </c>
    </row>
    <row r="62" spans="2:10" x14ac:dyDescent="0.25">
      <c r="B62" t="s">
        <v>227</v>
      </c>
      <c r="C62" s="334">
        <v>1078</v>
      </c>
      <c r="D62" s="334">
        <v>1054</v>
      </c>
      <c r="E62" s="336">
        <f t="shared" si="5"/>
        <v>2132</v>
      </c>
      <c r="G62" t="s">
        <v>227</v>
      </c>
      <c r="H62" s="334">
        <v>52</v>
      </c>
      <c r="I62" s="334">
        <v>52</v>
      </c>
      <c r="J62" s="336">
        <f t="shared" si="6"/>
        <v>104</v>
      </c>
    </row>
    <row r="63" spans="2:10" x14ac:dyDescent="0.25">
      <c r="B63" t="s">
        <v>228</v>
      </c>
      <c r="C63" s="334">
        <v>1044</v>
      </c>
      <c r="D63" s="334">
        <v>1090</v>
      </c>
      <c r="E63" s="336">
        <f t="shared" si="5"/>
        <v>2134</v>
      </c>
      <c r="G63" t="s">
        <v>228</v>
      </c>
      <c r="H63" s="334">
        <v>57</v>
      </c>
      <c r="I63" s="334">
        <v>57</v>
      </c>
      <c r="J63" s="336">
        <f t="shared" si="6"/>
        <v>114</v>
      </c>
    </row>
    <row r="64" spans="2:10" x14ac:dyDescent="0.25">
      <c r="B64" t="s">
        <v>229</v>
      </c>
      <c r="C64" s="334">
        <v>446</v>
      </c>
      <c r="D64" s="334">
        <v>415</v>
      </c>
      <c r="E64" s="336">
        <f t="shared" si="5"/>
        <v>861</v>
      </c>
      <c r="G64" t="s">
        <v>229</v>
      </c>
      <c r="H64" s="334">
        <v>23</v>
      </c>
      <c r="I64" s="334">
        <v>23</v>
      </c>
      <c r="J64" s="336">
        <f t="shared" si="6"/>
        <v>46</v>
      </c>
    </row>
    <row r="65" spans="2:10" x14ac:dyDescent="0.25">
      <c r="B65" t="s">
        <v>230</v>
      </c>
      <c r="C65" s="334">
        <v>0</v>
      </c>
      <c r="D65" s="334">
        <v>0</v>
      </c>
      <c r="E65" s="336">
        <f t="shared" si="5"/>
        <v>0</v>
      </c>
      <c r="G65" t="s">
        <v>230</v>
      </c>
      <c r="H65" s="334">
        <v>0</v>
      </c>
      <c r="I65" s="334">
        <v>0</v>
      </c>
      <c r="J65" s="336">
        <f t="shared" si="6"/>
        <v>0</v>
      </c>
    </row>
    <row r="66" spans="2:10" x14ac:dyDescent="0.25">
      <c r="B66" t="s">
        <v>231</v>
      </c>
      <c r="C66" s="334">
        <v>968</v>
      </c>
      <c r="D66" s="334">
        <v>868</v>
      </c>
      <c r="E66" s="336">
        <f t="shared" si="5"/>
        <v>1836</v>
      </c>
      <c r="G66" t="s">
        <v>231</v>
      </c>
      <c r="H66" s="334">
        <v>46</v>
      </c>
      <c r="I66" s="334">
        <v>46</v>
      </c>
      <c r="J66" s="336">
        <f t="shared" si="6"/>
        <v>92</v>
      </c>
    </row>
    <row r="67" spans="2:10" x14ac:dyDescent="0.25">
      <c r="B67" t="s">
        <v>232</v>
      </c>
      <c r="C67" s="334">
        <v>650</v>
      </c>
      <c r="D67" s="334">
        <v>605</v>
      </c>
      <c r="E67" s="336">
        <f t="shared" si="5"/>
        <v>1255</v>
      </c>
      <c r="G67" t="s">
        <v>232</v>
      </c>
      <c r="H67" s="334">
        <v>32</v>
      </c>
      <c r="I67" s="334">
        <v>31</v>
      </c>
      <c r="J67" s="336">
        <f t="shared" si="6"/>
        <v>63</v>
      </c>
    </row>
    <row r="69" spans="2:10" x14ac:dyDescent="0.25">
      <c r="B69" s="332" t="s">
        <v>233</v>
      </c>
      <c r="G69" s="337" t="s">
        <v>233</v>
      </c>
    </row>
    <row r="70" spans="2:10" x14ac:dyDescent="0.25">
      <c r="B70" t="s">
        <v>234</v>
      </c>
      <c r="C70" s="334">
        <v>864</v>
      </c>
      <c r="D70" s="334">
        <v>795</v>
      </c>
      <c r="E70" s="336">
        <f t="shared" ref="E70:E76" si="7">C70+D70</f>
        <v>1659</v>
      </c>
      <c r="G70" t="s">
        <v>234</v>
      </c>
      <c r="H70" s="334">
        <v>195</v>
      </c>
      <c r="I70" s="334">
        <v>195</v>
      </c>
      <c r="J70" s="336">
        <f t="shared" ref="J70:J76" si="8">H70+I70</f>
        <v>390</v>
      </c>
    </row>
    <row r="71" spans="2:10" x14ac:dyDescent="0.25">
      <c r="B71" t="s">
        <v>235</v>
      </c>
      <c r="C71" s="334">
        <v>792</v>
      </c>
      <c r="D71" s="334">
        <v>726</v>
      </c>
      <c r="E71" s="336">
        <f t="shared" si="7"/>
        <v>1518</v>
      </c>
      <c r="G71" t="s">
        <v>235</v>
      </c>
      <c r="H71" s="334">
        <v>139</v>
      </c>
      <c r="I71" s="334">
        <v>139</v>
      </c>
      <c r="J71" s="336">
        <f t="shared" si="8"/>
        <v>278</v>
      </c>
    </row>
    <row r="72" spans="2:10" x14ac:dyDescent="0.25">
      <c r="B72" t="s">
        <v>236</v>
      </c>
      <c r="C72" s="334">
        <v>74</v>
      </c>
      <c r="D72" s="334">
        <v>43</v>
      </c>
      <c r="E72" s="336">
        <f t="shared" si="7"/>
        <v>117</v>
      </c>
      <c r="G72" t="s">
        <v>236</v>
      </c>
      <c r="H72" s="334">
        <v>24</v>
      </c>
      <c r="I72" s="334">
        <v>22</v>
      </c>
      <c r="J72" s="336">
        <f t="shared" si="8"/>
        <v>46</v>
      </c>
    </row>
    <row r="73" spans="2:10" x14ac:dyDescent="0.25">
      <c r="B73" t="s">
        <v>237</v>
      </c>
      <c r="C73" s="334">
        <v>480</v>
      </c>
      <c r="D73" s="334">
        <v>505</v>
      </c>
      <c r="E73" s="336">
        <f t="shared" si="7"/>
        <v>985</v>
      </c>
      <c r="G73" t="s">
        <v>237</v>
      </c>
      <c r="H73" s="334">
        <v>109</v>
      </c>
      <c r="I73" s="334">
        <v>108</v>
      </c>
      <c r="J73" s="336">
        <f t="shared" si="8"/>
        <v>217</v>
      </c>
    </row>
    <row r="74" spans="2:10" x14ac:dyDescent="0.25">
      <c r="B74" t="s">
        <v>238</v>
      </c>
      <c r="C74" s="334">
        <v>518</v>
      </c>
      <c r="D74" s="334">
        <v>674</v>
      </c>
      <c r="E74" s="336">
        <f t="shared" si="7"/>
        <v>1192</v>
      </c>
      <c r="G74" t="s">
        <v>238</v>
      </c>
      <c r="H74" s="334">
        <v>122</v>
      </c>
      <c r="I74" s="334">
        <v>122</v>
      </c>
      <c r="J74" s="336">
        <f t="shared" si="8"/>
        <v>244</v>
      </c>
    </row>
    <row r="75" spans="2:10" x14ac:dyDescent="0.25">
      <c r="B75" t="s">
        <v>239</v>
      </c>
      <c r="C75" s="334"/>
      <c r="D75" s="334"/>
      <c r="E75" s="336">
        <f t="shared" si="7"/>
        <v>0</v>
      </c>
      <c r="G75" t="s">
        <v>239</v>
      </c>
      <c r="H75" s="334"/>
      <c r="I75" s="334"/>
      <c r="J75" s="336">
        <f t="shared" si="8"/>
        <v>0</v>
      </c>
    </row>
    <row r="76" spans="2:10" x14ac:dyDescent="0.25">
      <c r="B76" t="s">
        <v>240</v>
      </c>
      <c r="C76" s="334">
        <v>396</v>
      </c>
      <c r="D76" s="334">
        <v>467</v>
      </c>
      <c r="E76" s="336">
        <f t="shared" si="7"/>
        <v>863</v>
      </c>
      <c r="G76" t="s">
        <v>240</v>
      </c>
      <c r="H76" s="334">
        <v>63</v>
      </c>
      <c r="I76" s="334">
        <v>64</v>
      </c>
      <c r="J76" s="336">
        <f t="shared" si="8"/>
        <v>127</v>
      </c>
    </row>
    <row r="79" spans="2:10" x14ac:dyDescent="0.25">
      <c r="B79" t="s">
        <v>243</v>
      </c>
      <c r="C79">
        <f>SUM(C60:C76)</f>
        <v>9696</v>
      </c>
      <c r="D79">
        <f>SUM(D60:D76)</f>
        <v>9124</v>
      </c>
      <c r="E79">
        <f>SUM(E60:E76)</f>
        <v>18820</v>
      </c>
      <c r="G79" t="s">
        <v>243</v>
      </c>
      <c r="H79">
        <f>SUM(H60:H76)</f>
        <v>968</v>
      </c>
      <c r="I79">
        <f>SUM(I60:I76)</f>
        <v>967</v>
      </c>
      <c r="J79">
        <f>SUM(J60:J76)</f>
        <v>1935</v>
      </c>
    </row>
    <row r="83" spans="2:10" x14ac:dyDescent="0.25">
      <c r="B83" s="368" t="s">
        <v>222</v>
      </c>
      <c r="C83" s="368"/>
      <c r="D83" s="368"/>
      <c r="G83" s="368" t="s">
        <v>223</v>
      </c>
      <c r="H83" s="368"/>
    </row>
    <row r="85" spans="2:10" x14ac:dyDescent="0.25">
      <c r="B85" s="338">
        <v>43191</v>
      </c>
    </row>
    <row r="86" spans="2:10" x14ac:dyDescent="0.25">
      <c r="B86" s="332" t="s">
        <v>224</v>
      </c>
      <c r="C86" s="335" t="s">
        <v>241</v>
      </c>
      <c r="D86" s="335" t="s">
        <v>242</v>
      </c>
      <c r="E86" s="336" t="s">
        <v>0</v>
      </c>
      <c r="G86" s="333" t="s">
        <v>224</v>
      </c>
      <c r="H86" s="335" t="s">
        <v>241</v>
      </c>
      <c r="I86" s="335" t="s">
        <v>242</v>
      </c>
      <c r="J86" s="336" t="s">
        <v>0</v>
      </c>
    </row>
    <row r="87" spans="2:10" x14ac:dyDescent="0.25">
      <c r="B87" t="s">
        <v>225</v>
      </c>
      <c r="C87" s="334">
        <v>0</v>
      </c>
      <c r="D87" s="334">
        <v>0</v>
      </c>
      <c r="E87" s="336">
        <f t="shared" ref="E87:E94" si="9">C87+D87</f>
        <v>0</v>
      </c>
      <c r="G87" t="s">
        <v>225</v>
      </c>
      <c r="H87" s="334">
        <v>0</v>
      </c>
      <c r="I87" s="334">
        <v>0</v>
      </c>
      <c r="J87" s="336">
        <f t="shared" ref="J87:J94" si="10">H87+I87</f>
        <v>0</v>
      </c>
    </row>
    <row r="88" spans="2:10" x14ac:dyDescent="0.25">
      <c r="B88" t="s">
        <v>226</v>
      </c>
      <c r="C88" s="334">
        <v>1136</v>
      </c>
      <c r="D88" s="334">
        <v>1248</v>
      </c>
      <c r="E88" s="336">
        <f t="shared" si="9"/>
        <v>2384</v>
      </c>
      <c r="G88" t="s">
        <v>226</v>
      </c>
      <c r="H88" s="334">
        <v>53</v>
      </c>
      <c r="I88" s="334">
        <v>55</v>
      </c>
      <c r="J88" s="336">
        <f t="shared" si="10"/>
        <v>108</v>
      </c>
    </row>
    <row r="89" spans="2:10" x14ac:dyDescent="0.25">
      <c r="B89" t="s">
        <v>227</v>
      </c>
      <c r="C89" s="334">
        <v>987</v>
      </c>
      <c r="D89" s="334">
        <v>1096</v>
      </c>
      <c r="E89" s="336">
        <f t="shared" si="9"/>
        <v>2083</v>
      </c>
      <c r="G89" t="s">
        <v>227</v>
      </c>
      <c r="H89" s="334">
        <v>46</v>
      </c>
      <c r="I89" s="334">
        <v>47</v>
      </c>
      <c r="J89" s="336">
        <f t="shared" si="10"/>
        <v>93</v>
      </c>
    </row>
    <row r="90" spans="2:10" x14ac:dyDescent="0.25">
      <c r="B90" t="s">
        <v>228</v>
      </c>
      <c r="C90" s="334">
        <v>948</v>
      </c>
      <c r="D90" s="334">
        <v>939</v>
      </c>
      <c r="E90" s="336">
        <f t="shared" si="9"/>
        <v>1887</v>
      </c>
      <c r="G90" t="s">
        <v>228</v>
      </c>
      <c r="H90" s="334">
        <v>49</v>
      </c>
      <c r="I90" s="334">
        <v>51</v>
      </c>
      <c r="J90" s="336">
        <f t="shared" si="10"/>
        <v>100</v>
      </c>
    </row>
    <row r="91" spans="2:10" x14ac:dyDescent="0.25">
      <c r="B91" t="s">
        <v>229</v>
      </c>
      <c r="C91" s="334">
        <v>1175</v>
      </c>
      <c r="D91" s="334">
        <v>1254</v>
      </c>
      <c r="E91" s="336">
        <f t="shared" si="9"/>
        <v>2429</v>
      </c>
      <c r="G91" t="s">
        <v>229</v>
      </c>
      <c r="H91" s="334">
        <v>52</v>
      </c>
      <c r="I91" s="334">
        <v>54</v>
      </c>
      <c r="J91" s="336">
        <f t="shared" si="10"/>
        <v>106</v>
      </c>
    </row>
    <row r="92" spans="2:10" x14ac:dyDescent="0.25">
      <c r="B92" t="s">
        <v>230</v>
      </c>
      <c r="C92" s="334">
        <v>0</v>
      </c>
      <c r="D92" s="334">
        <v>0</v>
      </c>
      <c r="E92" s="336">
        <f t="shared" si="9"/>
        <v>0</v>
      </c>
      <c r="G92" t="s">
        <v>230</v>
      </c>
      <c r="H92" s="334">
        <v>0</v>
      </c>
      <c r="I92" s="334">
        <v>0</v>
      </c>
      <c r="J92" s="336">
        <f t="shared" si="10"/>
        <v>0</v>
      </c>
    </row>
    <row r="93" spans="2:10" x14ac:dyDescent="0.25">
      <c r="B93" t="s">
        <v>231</v>
      </c>
      <c r="C93" s="334">
        <v>1222</v>
      </c>
      <c r="D93" s="334">
        <v>1067</v>
      </c>
      <c r="E93" s="336">
        <f t="shared" si="9"/>
        <v>2289</v>
      </c>
      <c r="G93" t="s">
        <v>231</v>
      </c>
      <c r="H93" s="334">
        <v>49</v>
      </c>
      <c r="I93" s="334">
        <v>51</v>
      </c>
      <c r="J93" s="336">
        <f t="shared" si="10"/>
        <v>100</v>
      </c>
    </row>
    <row r="94" spans="2:10" x14ac:dyDescent="0.25">
      <c r="B94" t="s">
        <v>232</v>
      </c>
      <c r="C94" s="334">
        <v>1126</v>
      </c>
      <c r="D94" s="334">
        <v>1195</v>
      </c>
      <c r="E94" s="336">
        <f t="shared" si="9"/>
        <v>2321</v>
      </c>
      <c r="G94" t="s">
        <v>232</v>
      </c>
      <c r="H94" s="334">
        <v>55</v>
      </c>
      <c r="I94" s="334">
        <v>57</v>
      </c>
      <c r="J94" s="336">
        <f t="shared" si="10"/>
        <v>112</v>
      </c>
    </row>
    <row r="96" spans="2:10" x14ac:dyDescent="0.25">
      <c r="B96" s="332" t="s">
        <v>233</v>
      </c>
      <c r="G96" s="337" t="s">
        <v>233</v>
      </c>
    </row>
    <row r="97" spans="2:10" x14ac:dyDescent="0.25">
      <c r="B97" t="s">
        <v>234</v>
      </c>
      <c r="C97" s="334">
        <v>907</v>
      </c>
      <c r="D97" s="334">
        <v>1116</v>
      </c>
      <c r="E97" s="336">
        <f t="shared" ref="E97:E103" si="11">C97+D97</f>
        <v>2023</v>
      </c>
      <c r="G97" t="s">
        <v>234</v>
      </c>
      <c r="H97" s="334">
        <v>192</v>
      </c>
      <c r="I97" s="334">
        <v>202</v>
      </c>
      <c r="J97" s="336">
        <f t="shared" ref="J97:J103" si="12">H97+I97</f>
        <v>394</v>
      </c>
    </row>
    <row r="98" spans="2:10" x14ac:dyDescent="0.25">
      <c r="B98" t="s">
        <v>235</v>
      </c>
      <c r="C98" s="334">
        <v>697</v>
      </c>
      <c r="D98" s="334">
        <v>852</v>
      </c>
      <c r="E98" s="336">
        <f t="shared" si="11"/>
        <v>1549</v>
      </c>
      <c r="G98" t="s">
        <v>235</v>
      </c>
      <c r="H98" s="334">
        <v>154</v>
      </c>
      <c r="I98" s="334">
        <v>158</v>
      </c>
      <c r="J98" s="336">
        <f t="shared" si="12"/>
        <v>312</v>
      </c>
    </row>
    <row r="99" spans="2:10" x14ac:dyDescent="0.25">
      <c r="B99" t="s">
        <v>236</v>
      </c>
      <c r="C99" s="334">
        <v>16</v>
      </c>
      <c r="D99" s="334">
        <v>29</v>
      </c>
      <c r="E99" s="336">
        <f t="shared" si="11"/>
        <v>45</v>
      </c>
      <c r="G99" t="s">
        <v>236</v>
      </c>
      <c r="H99" s="334">
        <v>10</v>
      </c>
      <c r="I99" s="334">
        <v>9</v>
      </c>
      <c r="J99" s="336">
        <f t="shared" si="12"/>
        <v>19</v>
      </c>
    </row>
    <row r="100" spans="2:10" x14ac:dyDescent="0.25">
      <c r="B100" t="s">
        <v>237</v>
      </c>
      <c r="C100" s="334">
        <v>325</v>
      </c>
      <c r="D100" s="334">
        <v>448</v>
      </c>
      <c r="E100" s="336">
        <f t="shared" si="11"/>
        <v>773</v>
      </c>
      <c r="G100" t="s">
        <v>237</v>
      </c>
      <c r="H100" s="334">
        <v>80</v>
      </c>
      <c r="I100" s="334">
        <v>83</v>
      </c>
      <c r="J100" s="336">
        <f t="shared" si="12"/>
        <v>163</v>
      </c>
    </row>
    <row r="101" spans="2:10" x14ac:dyDescent="0.25">
      <c r="B101" t="s">
        <v>238</v>
      </c>
      <c r="C101" s="334">
        <v>325</v>
      </c>
      <c r="D101" s="334">
        <v>586</v>
      </c>
      <c r="E101" s="336">
        <f t="shared" si="11"/>
        <v>911</v>
      </c>
      <c r="G101" t="s">
        <v>238</v>
      </c>
      <c r="H101" s="334">
        <v>109</v>
      </c>
      <c r="I101" s="334">
        <v>112</v>
      </c>
      <c r="J101" s="336">
        <f t="shared" si="12"/>
        <v>221</v>
      </c>
    </row>
    <row r="102" spans="2:10" x14ac:dyDescent="0.25">
      <c r="B102" t="s">
        <v>239</v>
      </c>
      <c r="C102" s="334">
        <v>0</v>
      </c>
      <c r="D102" s="334">
        <v>0</v>
      </c>
      <c r="E102" s="336">
        <f t="shared" si="11"/>
        <v>0</v>
      </c>
      <c r="G102" t="s">
        <v>239</v>
      </c>
      <c r="H102" s="334">
        <v>0</v>
      </c>
      <c r="I102" s="334">
        <v>0</v>
      </c>
      <c r="J102" s="336">
        <f t="shared" si="12"/>
        <v>0</v>
      </c>
    </row>
    <row r="103" spans="2:10" x14ac:dyDescent="0.25">
      <c r="B103" t="s">
        <v>240</v>
      </c>
      <c r="C103" s="334">
        <v>1143</v>
      </c>
      <c r="D103" s="334">
        <v>808</v>
      </c>
      <c r="E103" s="336">
        <f t="shared" si="11"/>
        <v>1951</v>
      </c>
      <c r="G103" t="s">
        <v>240</v>
      </c>
      <c r="H103" s="334">
        <v>84</v>
      </c>
      <c r="I103" s="334">
        <v>91</v>
      </c>
      <c r="J103" s="336">
        <f t="shared" si="12"/>
        <v>175</v>
      </c>
    </row>
    <row r="106" spans="2:10" x14ac:dyDescent="0.25">
      <c r="B106" t="s">
        <v>243</v>
      </c>
      <c r="C106">
        <f>SUM(C87:C103)</f>
        <v>10007</v>
      </c>
      <c r="D106">
        <f>SUM(D87:D103)</f>
        <v>10638</v>
      </c>
      <c r="E106">
        <f>SUM(E87:E103)</f>
        <v>20645</v>
      </c>
      <c r="G106" t="s">
        <v>243</v>
      </c>
      <c r="H106">
        <f>SUM(H87:H103)</f>
        <v>933</v>
      </c>
      <c r="I106">
        <f>SUM(I87:I103)</f>
        <v>970</v>
      </c>
      <c r="J106">
        <f>SUM(J87:J103)</f>
        <v>1903</v>
      </c>
    </row>
  </sheetData>
  <mergeCells count="8">
    <mergeCell ref="B83:D83"/>
    <mergeCell ref="G83:H83"/>
    <mergeCell ref="B29:D29"/>
    <mergeCell ref="G29:H29"/>
    <mergeCell ref="B2:D2"/>
    <mergeCell ref="G2:H2"/>
    <mergeCell ref="B56:D56"/>
    <mergeCell ref="G56:H5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 Entry</vt:lpstr>
      <vt:lpstr>Summary</vt:lpstr>
      <vt:lpstr>Cruise</vt:lpstr>
      <vt:lpstr>Cruise Ships</vt:lpstr>
      <vt:lpstr>Passenger Movement</vt:lpstr>
      <vt:lpstr>Vessel Movement</vt:lpstr>
      <vt:lpstr>Cruise!Print_Area</vt:lpstr>
      <vt:lpstr>Summary!Print_Area</vt:lpstr>
      <vt:lpstr>Print_Area</vt:lpstr>
      <vt:lpstr>PRINT_AREA_MI</vt:lpstr>
    </vt:vector>
  </TitlesOfParts>
  <Company>Government of Anguilla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Avonelle Caragliano</dc:creator>
  <cp:lastModifiedBy>Careme C. Carty</cp:lastModifiedBy>
  <cp:lastPrinted>2011-11-07T19:11:53Z</cp:lastPrinted>
  <dcterms:created xsi:type="dcterms:W3CDTF">2001-03-19T19:15:59Z</dcterms:created>
  <dcterms:modified xsi:type="dcterms:W3CDTF">2018-05-23T15:14:24Z</dcterms:modified>
</cp:coreProperties>
</file>